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date1904="1" showInkAnnotation="0" autoCompressPictures="0"/>
  <bookViews>
    <workbookView xWindow="10540" yWindow="3360" windowWidth="20540" windowHeight="16840" tabRatio="560" activeTab="3"/>
  </bookViews>
  <sheets>
    <sheet name="Summary" sheetId="1" r:id="rId1"/>
    <sheet name="CAE" sheetId="2" r:id="rId2"/>
    <sheet name="Testing" sheetId="3" r:id="rId3"/>
    <sheet name="Equipment" sheetId="4" r:id="rId4"/>
    <sheet name="Process" sheetId="5" r:id="rId5"/>
    <sheet name="Finance" sheetId="6" r:id="rId6"/>
    <sheet name="Information" sheetId="7" r:id="rId7"/>
    <sheet name="Admin" sheetId="8" r:id="rId8"/>
    <sheet name="90" sheetId="9" r:id="rId9"/>
    <sheet name="Instruments" sheetId="10" r:id="rId10"/>
    <sheet name="sheet 10" sheetId="11" r:id="rId11"/>
    <sheet name="sheet 11" sheetId="12" r:id="rId12"/>
    <sheet name="Sheet14" sheetId="13" r:id="rId13"/>
    <sheet name="Sheet15" sheetId="14" r:id="rId14"/>
    <sheet name="Sheet16" sheetId="15" r:id="rId15"/>
    <sheet name="Sheet 17" sheetId="16" r:id="rId16"/>
  </sheets>
  <externalReferences>
    <externalReference r:id="rId17"/>
    <externalReference r:id="rId18"/>
  </externalReferences>
  <definedNames>
    <definedName name="_xlnm.Print_Area" localSheetId="10">'sheet 10'!$B$5:$AI$61</definedName>
    <definedName name="_xlnm.Print_Area" localSheetId="15">'Sheet 17'!$B$5:$AI$45</definedName>
    <definedName name="_xlnm.Print_Titles" localSheetId="1">CAE!$A:$A,CAE!$1:$4</definedName>
    <definedName name="_xlnm.Print_Titles" localSheetId="3">Equipment!$A:$A,Equipment!$1:$4</definedName>
    <definedName name="_xlnm.Print_Titles" localSheetId="5">Finance!$A:$A,Finance!$1:$4</definedName>
    <definedName name="_xlnm.Print_Titles" localSheetId="4">Process!$A:$A,Process!$1:$4</definedName>
    <definedName name="_xlnm.Print_Titles" localSheetId="10">'sheet 10'!$A:$A,'sheet 10'!$1:$4</definedName>
    <definedName name="_xlnm.Print_Titles" localSheetId="11">'sheet 11'!$A:$A,'sheet 11'!$1:$4</definedName>
    <definedName name="_xlnm.Print_Titles" localSheetId="15">'Sheet 17'!$A:$A,'Sheet 17'!$1:$4</definedName>
    <definedName name="wrn.Team._.CAE._.Projections." hidden="1">{#N/A,#N/A,TRUE,"CAE";#N/A,#N/A,TRUE,"Testing";#N/A,#N/A,TRUE,"Equipment";#N/A,#N/A,TRUE,"Process";#N/A,#N/A,TRUE,"Finance";#N/A,#N/A,TRUE,"Information";#N/A,#N/A,TRUE,"Admin";#N/A,#N/A,TRUE,"90"}</definedName>
  </definedName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0" i="9" l="1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B23" i="9"/>
  <c r="U23" i="9"/>
  <c r="V23" i="9"/>
  <c r="W23" i="9"/>
  <c r="D23" i="9"/>
  <c r="X23" i="9"/>
  <c r="Y23" i="9"/>
  <c r="Z23" i="9"/>
  <c r="G23" i="9"/>
  <c r="AA23" i="9"/>
  <c r="AB23" i="9"/>
  <c r="AC23" i="9"/>
  <c r="J23" i="9"/>
  <c r="AD23" i="9"/>
  <c r="AE23" i="9"/>
  <c r="AF23" i="9"/>
  <c r="M23" i="9"/>
  <c r="AG23" i="9"/>
  <c r="AH23" i="9"/>
  <c r="AI23" i="9"/>
  <c r="P23" i="9"/>
  <c r="Q23" i="9"/>
  <c r="R23" i="9"/>
  <c r="S23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D6" i="8"/>
  <c r="G6" i="8"/>
  <c r="J6" i="8"/>
  <c r="D8" i="8"/>
  <c r="G8" i="8"/>
  <c r="J8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B19" i="8"/>
  <c r="C19" i="8"/>
  <c r="U19" i="8"/>
  <c r="V19" i="8"/>
  <c r="W19" i="8"/>
  <c r="D19" i="8"/>
  <c r="X19" i="8"/>
  <c r="Y19" i="8"/>
  <c r="Z19" i="8"/>
  <c r="G19" i="8"/>
  <c r="AA19" i="8"/>
  <c r="AB19" i="8"/>
  <c r="AC19" i="8"/>
  <c r="J19" i="8"/>
  <c r="AD19" i="8"/>
  <c r="AE19" i="8"/>
  <c r="AF19" i="8"/>
  <c r="M19" i="8"/>
  <c r="AG19" i="8"/>
  <c r="AH19" i="8"/>
  <c r="AI19" i="8"/>
  <c r="P19" i="8"/>
  <c r="Q19" i="8"/>
  <c r="R19" i="8"/>
  <c r="S19" i="8"/>
  <c r="P20" i="8"/>
  <c r="Q20" i="8"/>
  <c r="R20" i="8"/>
  <c r="S20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B14" i="16" a="1"/>
  <c r="B19" i="16"/>
  <c r="B19" i="12"/>
  <c r="B19" i="11"/>
  <c r="B46" i="8"/>
  <c r="C19" i="16"/>
  <c r="C19" i="12"/>
  <c r="C19" i="11"/>
  <c r="C46" i="8"/>
  <c r="D19" i="16"/>
  <c r="D19" i="12"/>
  <c r="D19" i="11"/>
  <c r="D46" i="8"/>
  <c r="E19" i="16"/>
  <c r="E19" i="12"/>
  <c r="E19" i="11"/>
  <c r="E46" i="8"/>
  <c r="F19" i="16"/>
  <c r="F19" i="12"/>
  <c r="F19" i="11"/>
  <c r="F46" i="8"/>
  <c r="G19" i="16"/>
  <c r="G19" i="12"/>
  <c r="G19" i="11"/>
  <c r="G46" i="8"/>
  <c r="H19" i="16"/>
  <c r="H19" i="12"/>
  <c r="H19" i="11"/>
  <c r="H46" i="8"/>
  <c r="I19" i="16"/>
  <c r="I19" i="12"/>
  <c r="I19" i="11"/>
  <c r="I46" i="8"/>
  <c r="J19" i="16"/>
  <c r="J19" i="12"/>
  <c r="J19" i="11"/>
  <c r="J46" i="8"/>
  <c r="K19" i="16"/>
  <c r="K19" i="12"/>
  <c r="K19" i="11"/>
  <c r="K46" i="8"/>
  <c r="L19" i="16"/>
  <c r="L19" i="12"/>
  <c r="L19" i="11"/>
  <c r="L46" i="8"/>
  <c r="M19" i="16"/>
  <c r="M19" i="12"/>
  <c r="M19" i="11"/>
  <c r="M46" i="8"/>
  <c r="N19" i="16"/>
  <c r="N19" i="12"/>
  <c r="N19" i="11"/>
  <c r="N46" i="8"/>
  <c r="O19" i="16"/>
  <c r="O19" i="12"/>
  <c r="O19" i="11"/>
  <c r="O46" i="8"/>
  <c r="P19" i="16"/>
  <c r="P19" i="12"/>
  <c r="P19" i="11"/>
  <c r="P46" i="8"/>
  <c r="Q19" i="11"/>
  <c r="Q46" i="8"/>
  <c r="R19" i="11"/>
  <c r="R46" i="8"/>
  <c r="S19" i="11"/>
  <c r="S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B14" i="3" a="1"/>
  <c r="B19" i="3"/>
  <c r="B19" i="4"/>
  <c r="B19" i="2"/>
  <c r="B65" i="8"/>
  <c r="C19" i="3"/>
  <c r="C19" i="4"/>
  <c r="C19" i="2"/>
  <c r="C65" i="8"/>
  <c r="D19" i="3"/>
  <c r="D19" i="4"/>
  <c r="D19" i="2"/>
  <c r="D65" i="8"/>
  <c r="E19" i="3"/>
  <c r="E19" i="4"/>
  <c r="E19" i="2"/>
  <c r="E65" i="8"/>
  <c r="F19" i="3"/>
  <c r="F19" i="4"/>
  <c r="F19" i="2"/>
  <c r="F65" i="8"/>
  <c r="G19" i="3"/>
  <c r="G19" i="4"/>
  <c r="G19" i="2"/>
  <c r="G65" i="8"/>
  <c r="H19" i="3"/>
  <c r="H19" i="4"/>
  <c r="H19" i="2"/>
  <c r="H65" i="8"/>
  <c r="I19" i="3"/>
  <c r="I19" i="4"/>
  <c r="I19" i="2"/>
  <c r="I65" i="8"/>
  <c r="J19" i="3"/>
  <c r="J19" i="4"/>
  <c r="J19" i="2"/>
  <c r="J65" i="8"/>
  <c r="K19" i="3"/>
  <c r="K19" i="4"/>
  <c r="K19" i="2"/>
  <c r="K65" i="8"/>
  <c r="L19" i="3"/>
  <c r="L19" i="4"/>
  <c r="L19" i="2"/>
  <c r="L65" i="8"/>
  <c r="M19" i="3"/>
  <c r="M19" i="4"/>
  <c r="M19" i="2"/>
  <c r="M65" i="8"/>
  <c r="N19" i="3"/>
  <c r="N19" i="4"/>
  <c r="N19" i="2"/>
  <c r="N65" i="8"/>
  <c r="O19" i="3"/>
  <c r="O19" i="4"/>
  <c r="O19" i="2"/>
  <c r="O65" i="8"/>
  <c r="P19" i="3"/>
  <c r="P19" i="4"/>
  <c r="P19" i="2"/>
  <c r="P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D68" i="8"/>
  <c r="G68" i="8"/>
  <c r="J68" i="8"/>
  <c r="M68" i="8"/>
  <c r="P68" i="8"/>
  <c r="A2" i="2"/>
  <c r="B6" i="3"/>
  <c r="B6" i="4" a="1"/>
  <c r="B6" i="4"/>
  <c r="B6" i="2"/>
  <c r="C6" i="3"/>
  <c r="C6" i="4"/>
  <c r="C6" i="2"/>
  <c r="U6" i="3"/>
  <c r="V6" i="3"/>
  <c r="W6" i="3"/>
  <c r="D6" i="3"/>
  <c r="D6" i="4"/>
  <c r="D6" i="5"/>
  <c r="D6" i="10"/>
  <c r="D6" i="2"/>
  <c r="E6" i="3"/>
  <c r="E6" i="4"/>
  <c r="E6" i="2"/>
  <c r="F6" i="3"/>
  <c r="F6" i="4"/>
  <c r="F6" i="2"/>
  <c r="X6" i="3"/>
  <c r="Y6" i="3"/>
  <c r="Z6" i="3"/>
  <c r="G6" i="3"/>
  <c r="G6" i="4"/>
  <c r="G6" i="5"/>
  <c r="G6" i="2"/>
  <c r="H6" i="3"/>
  <c r="H6" i="4"/>
  <c r="H6" i="2"/>
  <c r="I6" i="3"/>
  <c r="I6" i="4"/>
  <c r="I6" i="2"/>
  <c r="AA6" i="3"/>
  <c r="AB6" i="3"/>
  <c r="AC6" i="3"/>
  <c r="J6" i="3"/>
  <c r="J6" i="4"/>
  <c r="J6" i="5"/>
  <c r="J6" i="2"/>
  <c r="K6" i="3"/>
  <c r="K6" i="4"/>
  <c r="K6" i="2"/>
  <c r="L6" i="3"/>
  <c r="L6" i="4"/>
  <c r="L6" i="2"/>
  <c r="AD6" i="3"/>
  <c r="AE6" i="3"/>
  <c r="AF6" i="3"/>
  <c r="M6" i="3"/>
  <c r="M6" i="4"/>
  <c r="M6" i="5"/>
  <c r="M6" i="2"/>
  <c r="N6" i="3"/>
  <c r="N6" i="4"/>
  <c r="N6" i="2"/>
  <c r="O6" i="3"/>
  <c r="O6" i="4"/>
  <c r="O6" i="2"/>
  <c r="AG6" i="3"/>
  <c r="AH6" i="3"/>
  <c r="AI6" i="3"/>
  <c r="P6" i="3"/>
  <c r="P6" i="4"/>
  <c r="P6" i="5"/>
  <c r="P6" i="2"/>
  <c r="Q6" i="2"/>
  <c r="R6" i="2"/>
  <c r="S6" i="2"/>
  <c r="U6" i="4"/>
  <c r="U6" i="2"/>
  <c r="V6" i="4"/>
  <c r="V6" i="2"/>
  <c r="W6" i="4"/>
  <c r="W6" i="2"/>
  <c r="X6" i="4"/>
  <c r="X6" i="2"/>
  <c r="Y6" i="4"/>
  <c r="Y6" i="2"/>
  <c r="Z6" i="4"/>
  <c r="Z6" i="2"/>
  <c r="AA6" i="4"/>
  <c r="AA6" i="2"/>
  <c r="AB6" i="4"/>
  <c r="AB6" i="2"/>
  <c r="AC6" i="4"/>
  <c r="AC6" i="2"/>
  <c r="AD6" i="4"/>
  <c r="AD6" i="2"/>
  <c r="AE6" i="4"/>
  <c r="AE6" i="2"/>
  <c r="AF6" i="4"/>
  <c r="AF6" i="2"/>
  <c r="AG6" i="4"/>
  <c r="AG6" i="2"/>
  <c r="AH6" i="4"/>
  <c r="AH6" i="2"/>
  <c r="AI6" i="4"/>
  <c r="AI6" i="2"/>
  <c r="AJ6" i="2"/>
  <c r="B8" i="3"/>
  <c r="B8" i="4" a="1"/>
  <c r="B8" i="4"/>
  <c r="B8" i="2"/>
  <c r="C8" i="3"/>
  <c r="C8" i="4"/>
  <c r="C8" i="2"/>
  <c r="U8" i="3"/>
  <c r="V8" i="3"/>
  <c r="W8" i="3"/>
  <c r="D8" i="3"/>
  <c r="D8" i="4"/>
  <c r="D8" i="5"/>
  <c r="D8" i="10"/>
  <c r="D8" i="2"/>
  <c r="E8" i="3"/>
  <c r="E8" i="4"/>
  <c r="E8" i="2"/>
  <c r="F8" i="3"/>
  <c r="F8" i="4"/>
  <c r="F8" i="2"/>
  <c r="X8" i="3"/>
  <c r="Y8" i="3"/>
  <c r="Z8" i="3"/>
  <c r="G8" i="3"/>
  <c r="G8" i="4"/>
  <c r="G8" i="5"/>
  <c r="G8" i="2"/>
  <c r="H8" i="3"/>
  <c r="H8" i="4"/>
  <c r="H8" i="2"/>
  <c r="I8" i="3"/>
  <c r="I8" i="4"/>
  <c r="I8" i="2"/>
  <c r="AA8" i="3"/>
  <c r="AB8" i="3"/>
  <c r="AC8" i="3"/>
  <c r="J8" i="3"/>
  <c r="J8" i="4"/>
  <c r="J8" i="5"/>
  <c r="J8" i="2"/>
  <c r="K8" i="3"/>
  <c r="K8" i="4"/>
  <c r="K8" i="2"/>
  <c r="L8" i="3"/>
  <c r="L8" i="4"/>
  <c r="L8" i="2"/>
  <c r="AD8" i="3"/>
  <c r="AE8" i="3"/>
  <c r="AF8" i="3"/>
  <c r="M8" i="3"/>
  <c r="M8" i="4"/>
  <c r="M8" i="5"/>
  <c r="M8" i="2"/>
  <c r="N8" i="3"/>
  <c r="N8" i="4"/>
  <c r="N8" i="2"/>
  <c r="O8" i="3"/>
  <c r="O8" i="4"/>
  <c r="O8" i="2"/>
  <c r="AG8" i="3"/>
  <c r="AH8" i="3"/>
  <c r="AI8" i="3"/>
  <c r="P8" i="3"/>
  <c r="P8" i="4"/>
  <c r="P8" i="5"/>
  <c r="P8" i="2"/>
  <c r="Q8" i="2"/>
  <c r="R8" i="2"/>
  <c r="S8" i="2"/>
  <c r="U8" i="4"/>
  <c r="U8" i="2"/>
  <c r="V8" i="4"/>
  <c r="V8" i="2"/>
  <c r="W8" i="4"/>
  <c r="W8" i="2"/>
  <c r="X8" i="4"/>
  <c r="X8" i="2"/>
  <c r="Y8" i="4"/>
  <c r="Y8" i="2"/>
  <c r="Z8" i="4"/>
  <c r="Z8" i="2"/>
  <c r="AA8" i="4"/>
  <c r="AA8" i="2"/>
  <c r="AB8" i="4"/>
  <c r="AB8" i="2"/>
  <c r="AC8" i="4"/>
  <c r="AC8" i="2"/>
  <c r="AD8" i="4"/>
  <c r="AD8" i="2"/>
  <c r="AE8" i="4"/>
  <c r="AE8" i="2"/>
  <c r="AF8" i="4"/>
  <c r="AF8" i="2"/>
  <c r="AG8" i="4"/>
  <c r="AG8" i="2"/>
  <c r="AH8" i="4"/>
  <c r="AH8" i="2"/>
  <c r="AI8" i="4"/>
  <c r="AI8" i="2"/>
  <c r="AJ8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B15" i="3"/>
  <c r="B15" i="4"/>
  <c r="B15" i="2"/>
  <c r="C15" i="3"/>
  <c r="C15" i="4"/>
  <c r="C15" i="2"/>
  <c r="D15" i="3"/>
  <c r="D15" i="4"/>
  <c r="D15" i="2"/>
  <c r="E15" i="3"/>
  <c r="E15" i="4"/>
  <c r="E15" i="2"/>
  <c r="F15" i="3"/>
  <c r="F15" i="4"/>
  <c r="F15" i="2"/>
  <c r="G15" i="3"/>
  <c r="G15" i="4"/>
  <c r="G15" i="2"/>
  <c r="H15" i="3"/>
  <c r="H15" i="4"/>
  <c r="H15" i="2"/>
  <c r="I15" i="3"/>
  <c r="I15" i="4"/>
  <c r="I15" i="2"/>
  <c r="J15" i="3"/>
  <c r="J15" i="4"/>
  <c r="J15" i="2"/>
  <c r="K15" i="3"/>
  <c r="K15" i="4"/>
  <c r="K15" i="2"/>
  <c r="L15" i="3"/>
  <c r="L15" i="4"/>
  <c r="L15" i="2"/>
  <c r="M15" i="3"/>
  <c r="M15" i="4"/>
  <c r="M15" i="2"/>
  <c r="N15" i="3"/>
  <c r="N15" i="4"/>
  <c r="N15" i="2"/>
  <c r="O15" i="3"/>
  <c r="O15" i="4"/>
  <c r="O15" i="2"/>
  <c r="P15" i="3"/>
  <c r="P15" i="4"/>
  <c r="P15" i="2"/>
  <c r="Q15" i="2"/>
  <c r="R15" i="2"/>
  <c r="S15" i="2"/>
  <c r="U15" i="2" a="1"/>
  <c r="U15" i="2"/>
  <c r="V15" i="2"/>
  <c r="W15" i="2"/>
  <c r="X15" i="6"/>
  <c r="X15" i="2"/>
  <c r="Y15" i="6"/>
  <c r="Y15" i="2"/>
  <c r="Z15" i="6"/>
  <c r="Z15" i="2"/>
  <c r="AA15" i="6"/>
  <c r="AA15" i="2"/>
  <c r="AB15" i="6"/>
  <c r="AB15" i="2"/>
  <c r="AC15" i="6"/>
  <c r="AC15" i="2"/>
  <c r="AD15" i="6"/>
  <c r="AD15" i="2"/>
  <c r="AE15" i="6"/>
  <c r="AE15" i="2"/>
  <c r="AF15" i="6"/>
  <c r="AF15" i="2"/>
  <c r="AG15" i="6"/>
  <c r="AG15" i="2"/>
  <c r="AH15" i="6"/>
  <c r="AH15" i="2"/>
  <c r="AI15" i="6"/>
  <c r="AI15" i="2"/>
  <c r="AJ15" i="2"/>
  <c r="B17" i="3"/>
  <c r="B17" i="4"/>
  <c r="B17" i="2"/>
  <c r="C17" i="3"/>
  <c r="C17" i="4"/>
  <c r="C17" i="2"/>
  <c r="D17" i="3"/>
  <c r="D17" i="4"/>
  <c r="D17" i="2"/>
  <c r="E17" i="3"/>
  <c r="E17" i="4"/>
  <c r="E17" i="2"/>
  <c r="F17" i="3"/>
  <c r="F17" i="4"/>
  <c r="F17" i="2"/>
  <c r="G17" i="3"/>
  <c r="G17" i="4"/>
  <c r="G17" i="2"/>
  <c r="H17" i="3"/>
  <c r="H17" i="4"/>
  <c r="H17" i="2"/>
  <c r="I17" i="3"/>
  <c r="I17" i="4"/>
  <c r="I17" i="2"/>
  <c r="J17" i="3"/>
  <c r="J17" i="4"/>
  <c r="J17" i="2"/>
  <c r="K17" i="3"/>
  <c r="K17" i="4"/>
  <c r="K17" i="2"/>
  <c r="L17" i="3"/>
  <c r="L17" i="4"/>
  <c r="L17" i="2"/>
  <c r="M17" i="3"/>
  <c r="M17" i="4"/>
  <c r="M17" i="2"/>
  <c r="N17" i="3"/>
  <c r="N17" i="4"/>
  <c r="N17" i="2"/>
  <c r="O17" i="3"/>
  <c r="O17" i="4"/>
  <c r="O17" i="2"/>
  <c r="P17" i="3"/>
  <c r="P17" i="4"/>
  <c r="P17" i="2"/>
  <c r="Q17" i="2"/>
  <c r="R17" i="2"/>
  <c r="S17" i="2"/>
  <c r="U17" i="2" a="1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Q19" i="2"/>
  <c r="R19" i="2"/>
  <c r="S19" i="2"/>
  <c r="U19" i="2" a="1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B22" i="2"/>
  <c r="C22" i="2"/>
  <c r="D43" i="2"/>
  <c r="D45" i="2"/>
  <c r="D47" i="2"/>
  <c r="D49" i="2"/>
  <c r="B44" i="2" a="1"/>
  <c r="D15" i="6"/>
  <c r="D44" i="2"/>
  <c r="B46" i="2" a="1"/>
  <c r="D17" i="7"/>
  <c r="D46" i="2"/>
  <c r="B48" i="2" a="1"/>
  <c r="D48" i="2"/>
  <c r="D50" i="2"/>
  <c r="D51" i="2"/>
  <c r="D24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B23" i="2" a="1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 a="1"/>
  <c r="AJ23" i="2"/>
  <c r="G43" i="2"/>
  <c r="G45" i="2"/>
  <c r="G47" i="2"/>
  <c r="G49" i="2"/>
  <c r="G15" i="6"/>
  <c r="G44" i="2"/>
  <c r="G17" i="7"/>
  <c r="G46" i="2"/>
  <c r="G48" i="2"/>
  <c r="G50" i="2"/>
  <c r="G51" i="2"/>
  <c r="G24" i="2"/>
  <c r="J43" i="2"/>
  <c r="J45" i="2"/>
  <c r="J47" i="2"/>
  <c r="J49" i="2"/>
  <c r="J15" i="6"/>
  <c r="J44" i="2"/>
  <c r="J17" i="7"/>
  <c r="J46" i="2"/>
  <c r="J48" i="2"/>
  <c r="J50" i="2"/>
  <c r="J51" i="2"/>
  <c r="J24" i="2"/>
  <c r="M43" i="2"/>
  <c r="M45" i="2"/>
  <c r="M47" i="2"/>
  <c r="M49" i="2"/>
  <c r="M15" i="6"/>
  <c r="M44" i="2"/>
  <c r="M17" i="7"/>
  <c r="M46" i="2"/>
  <c r="M48" i="2"/>
  <c r="M50" i="2"/>
  <c r="M51" i="2"/>
  <c r="M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U31" i="2"/>
  <c r="V31" i="2"/>
  <c r="W31" i="2"/>
  <c r="D31" i="2"/>
  <c r="X31" i="2"/>
  <c r="Z31" i="2"/>
  <c r="G31" i="2"/>
  <c r="D32" i="2"/>
  <c r="G32" i="2"/>
  <c r="D33" i="2"/>
  <c r="Y33" i="2"/>
  <c r="G33" i="2"/>
  <c r="D34" i="2"/>
  <c r="G34" i="2"/>
  <c r="D35" i="2"/>
  <c r="G35" i="2"/>
  <c r="B36" i="2"/>
  <c r="C36" i="2"/>
  <c r="U36" i="2"/>
  <c r="V36" i="2"/>
  <c r="W36" i="2"/>
  <c r="D36" i="2"/>
  <c r="E36" i="2"/>
  <c r="F36" i="2"/>
  <c r="X36" i="2"/>
  <c r="Y36" i="2"/>
  <c r="Z36" i="2"/>
  <c r="G36" i="2"/>
  <c r="H36" i="2"/>
  <c r="I36" i="2"/>
  <c r="J36" i="2"/>
  <c r="K36" i="2"/>
  <c r="L36" i="2"/>
  <c r="M36" i="2"/>
  <c r="N36" i="2"/>
  <c r="O36" i="2"/>
  <c r="P36" i="2"/>
  <c r="AA36" i="2"/>
  <c r="AB36" i="2"/>
  <c r="AC36" i="2"/>
  <c r="AD36" i="2"/>
  <c r="AE36" i="2"/>
  <c r="AF36" i="2"/>
  <c r="AG36" i="2"/>
  <c r="AH36" i="2"/>
  <c r="AI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B38" i="2"/>
  <c r="C38" i="2"/>
  <c r="U38" i="2"/>
  <c r="V38" i="2"/>
  <c r="W38" i="2"/>
  <c r="D38" i="2"/>
  <c r="E38" i="2"/>
  <c r="F38" i="2"/>
  <c r="X38" i="2"/>
  <c r="Y38" i="2"/>
  <c r="Z38" i="2"/>
  <c r="G38" i="2"/>
  <c r="H38" i="2"/>
  <c r="I38" i="2"/>
  <c r="J38" i="2"/>
  <c r="K38" i="2"/>
  <c r="L38" i="2"/>
  <c r="M38" i="2"/>
  <c r="N38" i="2"/>
  <c r="O38" i="2"/>
  <c r="P38" i="2"/>
  <c r="AA38" i="2"/>
  <c r="AB38" i="2"/>
  <c r="AC38" i="2"/>
  <c r="AD38" i="2"/>
  <c r="AE38" i="2"/>
  <c r="AF38" i="2"/>
  <c r="AG38" i="2"/>
  <c r="AH38" i="2"/>
  <c r="AI38" i="2"/>
  <c r="H39" i="2"/>
  <c r="I39" i="2"/>
  <c r="J39" i="2"/>
  <c r="K39" i="2"/>
  <c r="L39" i="2"/>
  <c r="M39" i="2"/>
  <c r="N39" i="2"/>
  <c r="O39" i="2"/>
  <c r="P39" i="2"/>
  <c r="B40" i="2"/>
  <c r="C28" i="3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B43" i="2"/>
  <c r="C43" i="2"/>
  <c r="E43" i="2"/>
  <c r="F43" i="2"/>
  <c r="H43" i="2"/>
  <c r="I43" i="2"/>
  <c r="K43" i="2"/>
  <c r="L43" i="2"/>
  <c r="N43" i="2"/>
  <c r="O43" i="2"/>
  <c r="P43" i="2"/>
  <c r="Q43" i="2"/>
  <c r="R43" i="2"/>
  <c r="S43" i="2"/>
  <c r="U15" i="3"/>
  <c r="U15" i="4"/>
  <c r="U43" i="2"/>
  <c r="V15" i="3"/>
  <c r="V15" i="4"/>
  <c r="V43" i="2"/>
  <c r="W15" i="3"/>
  <c r="W15" i="4"/>
  <c r="W43" i="2"/>
  <c r="X15" i="3"/>
  <c r="X15" i="4"/>
  <c r="X43" i="2"/>
  <c r="Y15" i="3"/>
  <c r="Y15" i="4"/>
  <c r="Y43" i="2"/>
  <c r="Z15" i="3"/>
  <c r="Z15" i="4"/>
  <c r="Z43" i="2"/>
  <c r="AA15" i="3"/>
  <c r="AA15" i="4"/>
  <c r="AA43" i="2"/>
  <c r="AB15" i="4"/>
  <c r="AB43" i="2"/>
  <c r="AC15" i="4"/>
  <c r="AC43" i="2"/>
  <c r="AD15" i="4"/>
  <c r="AD43" i="2"/>
  <c r="AE15" i="4"/>
  <c r="AE43" i="2"/>
  <c r="AF15" i="4"/>
  <c r="AF43" i="2"/>
  <c r="AG15" i="4"/>
  <c r="AG43" i="2"/>
  <c r="AH15" i="4"/>
  <c r="AH43" i="2"/>
  <c r="AI15" i="4"/>
  <c r="AI43" i="2"/>
  <c r="B44" i="2"/>
  <c r="C44" i="2"/>
  <c r="E44" i="2"/>
  <c r="F44" i="2"/>
  <c r="H44" i="2"/>
  <c r="I44" i="2"/>
  <c r="K44" i="2"/>
  <c r="L44" i="2"/>
  <c r="N44" i="2"/>
  <c r="O44" i="2"/>
  <c r="P15" i="6"/>
  <c r="P44" i="2"/>
  <c r="Q15" i="6"/>
  <c r="Q44" i="2"/>
  <c r="R15" i="6"/>
  <c r="R44" i="2"/>
  <c r="S15" i="6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B45" i="2"/>
  <c r="C45" i="2"/>
  <c r="E45" i="2"/>
  <c r="F45" i="2"/>
  <c r="H45" i="2"/>
  <c r="I45" i="2"/>
  <c r="K45" i="2"/>
  <c r="L45" i="2"/>
  <c r="Q45" i="2"/>
  <c r="R45" i="2"/>
  <c r="S45" i="2"/>
  <c r="U17" i="3"/>
  <c r="U17" i="4"/>
  <c r="U45" i="2"/>
  <c r="V17" i="3"/>
  <c r="V17" i="4"/>
  <c r="V45" i="2"/>
  <c r="W17" i="3"/>
  <c r="W17" i="4"/>
  <c r="W45" i="2"/>
  <c r="X17" i="3"/>
  <c r="X17" i="4"/>
  <c r="X45" i="2"/>
  <c r="Y17" i="3"/>
  <c r="Y17" i="4"/>
  <c r="Y45" i="2"/>
  <c r="Z17" i="3"/>
  <c r="Z17" i="4"/>
  <c r="Z45" i="2"/>
  <c r="AA17" i="3"/>
  <c r="AA17" i="4"/>
  <c r="AA45" i="2"/>
  <c r="AB17" i="4"/>
  <c r="AB45" i="2"/>
  <c r="AC17" i="4"/>
  <c r="AC45" i="2"/>
  <c r="AD17" i="4"/>
  <c r="AD45" i="2"/>
  <c r="AE17" i="4"/>
  <c r="AE45" i="2"/>
  <c r="AF17" i="4"/>
  <c r="AF45" i="2"/>
  <c r="AG17" i="4"/>
  <c r="AG45" i="2"/>
  <c r="AH17" i="4"/>
  <c r="AH45" i="2"/>
  <c r="AI17" i="4"/>
  <c r="AI45" i="2"/>
  <c r="B46" i="2"/>
  <c r="C46" i="2"/>
  <c r="E46" i="2"/>
  <c r="F46" i="2"/>
  <c r="H46" i="2"/>
  <c r="I46" i="2"/>
  <c r="K46" i="2"/>
  <c r="L46" i="2"/>
  <c r="N46" i="2"/>
  <c r="O46" i="2"/>
  <c r="P17" i="7"/>
  <c r="P46" i="2"/>
  <c r="Q17" i="7"/>
  <c r="Q46" i="2"/>
  <c r="R17" i="7"/>
  <c r="R46" i="2"/>
  <c r="S46" i="2"/>
  <c r="U46" i="2" a="1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B47" i="2"/>
  <c r="C47" i="2"/>
  <c r="E47" i="2"/>
  <c r="F47" i="2"/>
  <c r="H47" i="2"/>
  <c r="I47" i="2"/>
  <c r="K47" i="2"/>
  <c r="L47" i="2"/>
  <c r="N47" i="2"/>
  <c r="O47" i="2"/>
  <c r="P47" i="2"/>
  <c r="Q47" i="2"/>
  <c r="R47" i="2"/>
  <c r="S47" i="2"/>
  <c r="U19" i="3"/>
  <c r="U19" i="4"/>
  <c r="U47" i="2"/>
  <c r="V19" i="3"/>
  <c r="V19" i="4"/>
  <c r="V47" i="2"/>
  <c r="W19" i="3"/>
  <c r="W19" i="4"/>
  <c r="W47" i="2"/>
  <c r="X19" i="3"/>
  <c r="X19" i="4"/>
  <c r="X47" i="2"/>
  <c r="Y19" i="3"/>
  <c r="Y19" i="4"/>
  <c r="Y47" i="2"/>
  <c r="Z19" i="3"/>
  <c r="Z19" i="4"/>
  <c r="Z47" i="2"/>
  <c r="AA19" i="3"/>
  <c r="AA19" i="4"/>
  <c r="AA47" i="2"/>
  <c r="AB19" i="4"/>
  <c r="AB47" i="2"/>
  <c r="AC19" i="4"/>
  <c r="AC47" i="2"/>
  <c r="AD19" i="4"/>
  <c r="AD47" i="2"/>
  <c r="AE19" i="4"/>
  <c r="AE47" i="2"/>
  <c r="AF19" i="4"/>
  <c r="AF47" i="2"/>
  <c r="AG19" i="4"/>
  <c r="AG47" i="2"/>
  <c r="AH19" i="4"/>
  <c r="AH47" i="2"/>
  <c r="AI19" i="4"/>
  <c r="AI47" i="2"/>
  <c r="B48" i="2"/>
  <c r="C48" i="2"/>
  <c r="E48" i="2"/>
  <c r="F48" i="2"/>
  <c r="H48" i="2"/>
  <c r="I48" i="2"/>
  <c r="K48" i="2"/>
  <c r="L48" i="2"/>
  <c r="N48" i="2"/>
  <c r="O48" i="2"/>
  <c r="P48" i="2"/>
  <c r="Q48" i="2"/>
  <c r="R48" i="2"/>
  <c r="S48" i="2"/>
  <c r="U48" i="2" a="1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B49" i="2"/>
  <c r="C49" i="2"/>
  <c r="E49" i="2"/>
  <c r="F49" i="2"/>
  <c r="H49" i="2"/>
  <c r="I49" i="2"/>
  <c r="K49" i="2"/>
  <c r="L49" i="2"/>
  <c r="N49" i="2"/>
  <c r="O49" i="2"/>
  <c r="P49" i="2"/>
  <c r="Q49" i="2"/>
  <c r="R49" i="2"/>
  <c r="S49" i="2"/>
  <c r="U49" i="2"/>
  <c r="V49" i="2"/>
  <c r="W49" i="2"/>
  <c r="X49" i="2"/>
  <c r="Y49" i="2"/>
  <c r="Z49" i="2"/>
  <c r="B50" i="2"/>
  <c r="C50" i="2"/>
  <c r="E50" i="2"/>
  <c r="F50" i="2"/>
  <c r="H50" i="2"/>
  <c r="I50" i="2"/>
  <c r="K50" i="2"/>
  <c r="L50" i="2"/>
  <c r="N50" i="2"/>
  <c r="O50" i="2"/>
  <c r="P50" i="2"/>
  <c r="Q50" i="2"/>
  <c r="R50" i="2"/>
  <c r="S50" i="2"/>
  <c r="U50" i="2"/>
  <c r="V50" i="2"/>
  <c r="W50" i="2"/>
  <c r="X50" i="2"/>
  <c r="Y50" i="2"/>
  <c r="Z50" i="2"/>
  <c r="B51" i="2"/>
  <c r="C51" i="2"/>
  <c r="E51" i="2"/>
  <c r="F51" i="2"/>
  <c r="H51" i="2"/>
  <c r="I51" i="2"/>
  <c r="K51" i="2"/>
  <c r="L51" i="2"/>
  <c r="N51" i="2"/>
  <c r="O51" i="2"/>
  <c r="P51" i="2"/>
  <c r="Q51" i="2"/>
  <c r="R51" i="2"/>
  <c r="S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B36" i="3"/>
  <c r="B37" i="4"/>
  <c r="B53" i="2"/>
  <c r="B37" i="3"/>
  <c r="B38" i="4"/>
  <c r="B54" i="2"/>
  <c r="B38" i="3"/>
  <c r="B39" i="4"/>
  <c r="B55" i="2"/>
  <c r="B39" i="3"/>
  <c r="B40" i="4"/>
  <c r="B56" i="2"/>
  <c r="B40" i="3"/>
  <c r="B41" i="4"/>
  <c r="B57" i="2"/>
  <c r="B41" i="3"/>
  <c r="B42" i="4"/>
  <c r="B58" i="2"/>
  <c r="B42" i="3"/>
  <c r="B43" i="4"/>
  <c r="B59" i="2"/>
  <c r="B43" i="3"/>
  <c r="B44" i="4"/>
  <c r="B60" i="2"/>
  <c r="B44" i="3"/>
  <c r="B45" i="4"/>
  <c r="B61" i="2"/>
  <c r="B45" i="3"/>
  <c r="B46" i="4"/>
  <c r="B62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B83" i="2"/>
  <c r="C83" i="2"/>
  <c r="D83" i="2"/>
  <c r="E83" i="2"/>
  <c r="F83" i="2"/>
  <c r="H83" i="2"/>
  <c r="I83" i="2"/>
  <c r="K83" i="2"/>
  <c r="L83" i="2"/>
  <c r="M83" i="2"/>
  <c r="N83" i="2"/>
  <c r="O83" i="2"/>
  <c r="P83" i="2"/>
  <c r="Q83" i="2"/>
  <c r="R83" i="2"/>
  <c r="B85" i="2"/>
  <c r="C85" i="2"/>
  <c r="D85" i="2"/>
  <c r="E85" i="2"/>
  <c r="F85" i="2"/>
  <c r="H85" i="2"/>
  <c r="I85" i="2"/>
  <c r="K85" i="2"/>
  <c r="L85" i="2"/>
  <c r="M85" i="2"/>
  <c r="N85" i="2"/>
  <c r="O85" i="2"/>
  <c r="P85" i="2"/>
  <c r="Q85" i="2"/>
  <c r="R85" i="2"/>
  <c r="B87" i="2"/>
  <c r="C87" i="2"/>
  <c r="D87" i="2"/>
  <c r="E87" i="2"/>
  <c r="F87" i="2"/>
  <c r="H87" i="2"/>
  <c r="I87" i="2"/>
  <c r="K87" i="2"/>
  <c r="L87" i="2"/>
  <c r="M87" i="2"/>
  <c r="N87" i="2"/>
  <c r="O87" i="2"/>
  <c r="P87" i="2"/>
  <c r="Q87" i="2"/>
  <c r="R87" i="2"/>
  <c r="B89" i="2"/>
  <c r="C89" i="2"/>
  <c r="D89" i="2"/>
  <c r="E89" i="2"/>
  <c r="F89" i="2"/>
  <c r="H89" i="2"/>
  <c r="I89" i="2"/>
  <c r="K89" i="2"/>
  <c r="L89" i="2"/>
  <c r="M89" i="2"/>
  <c r="N89" i="2"/>
  <c r="O89" i="2"/>
  <c r="P89" i="2"/>
  <c r="Q89" i="2"/>
  <c r="R89" i="2"/>
  <c r="B92" i="2"/>
  <c r="C92" i="2"/>
  <c r="D92" i="2"/>
  <c r="E92" i="2"/>
  <c r="F92" i="2"/>
  <c r="H92" i="2"/>
  <c r="I92" i="2"/>
  <c r="K92" i="2"/>
  <c r="L92" i="2"/>
  <c r="M92" i="2"/>
  <c r="N92" i="2"/>
  <c r="O92" i="2"/>
  <c r="P92" i="2"/>
  <c r="Q92" i="2"/>
  <c r="R92" i="2"/>
  <c r="B94" i="2"/>
  <c r="C94" i="2"/>
  <c r="D94" i="2"/>
  <c r="E94" i="2"/>
  <c r="F94" i="2"/>
  <c r="H94" i="2"/>
  <c r="I94" i="2"/>
  <c r="K94" i="2"/>
  <c r="L94" i="2"/>
  <c r="M94" i="2"/>
  <c r="N94" i="2"/>
  <c r="O94" i="2"/>
  <c r="P94" i="2"/>
  <c r="Q94" i="2"/>
  <c r="R94" i="2"/>
  <c r="B96" i="2"/>
  <c r="C96" i="2"/>
  <c r="D96" i="2"/>
  <c r="E96" i="2"/>
  <c r="F96" i="2"/>
  <c r="H96" i="2"/>
  <c r="I96" i="2"/>
  <c r="K96" i="2"/>
  <c r="L96" i="2"/>
  <c r="M96" i="2"/>
  <c r="N96" i="2"/>
  <c r="O96" i="2"/>
  <c r="P96" i="2"/>
  <c r="Q96" i="2"/>
  <c r="R96" i="2"/>
  <c r="B97" i="2"/>
  <c r="C97" i="2"/>
  <c r="D97" i="2"/>
  <c r="E97" i="2"/>
  <c r="F97" i="2"/>
  <c r="H97" i="2"/>
  <c r="I97" i="2"/>
  <c r="K97" i="2"/>
  <c r="L97" i="2"/>
  <c r="M97" i="2"/>
  <c r="N97" i="2"/>
  <c r="O97" i="2"/>
  <c r="P97" i="2"/>
  <c r="Q97" i="2"/>
  <c r="R97" i="2"/>
  <c r="Q6" i="4"/>
  <c r="R6" i="4"/>
  <c r="S6" i="4"/>
  <c r="Q8" i="4"/>
  <c r="R8" i="4"/>
  <c r="S8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Q15" i="4"/>
  <c r="R15" i="4"/>
  <c r="S15" i="4"/>
  <c r="Q17" i="4"/>
  <c r="R17" i="4"/>
  <c r="S17" i="4"/>
  <c r="Q19" i="4"/>
  <c r="R19" i="4"/>
  <c r="S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B108" i="4"/>
  <c r="D6" i="6"/>
  <c r="G6" i="6"/>
  <c r="J6" i="6"/>
  <c r="M6" i="6"/>
  <c r="P6" i="6"/>
  <c r="Q6" i="6"/>
  <c r="R6" i="6"/>
  <c r="S6" i="6"/>
  <c r="D8" i="6"/>
  <c r="G8" i="6"/>
  <c r="J8" i="6"/>
  <c r="M8" i="6"/>
  <c r="P8" i="6"/>
  <c r="Q8" i="6"/>
  <c r="R8" i="6"/>
  <c r="S8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S17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D45" i="7"/>
  <c r="G45" i="7"/>
  <c r="J45" i="7"/>
  <c r="M45" i="7"/>
  <c r="P45" i="7"/>
  <c r="D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Q6" i="5"/>
  <c r="R6" i="5"/>
  <c r="S6" i="5"/>
  <c r="Q8" i="5"/>
  <c r="R8" i="5"/>
  <c r="S8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Q15" i="5"/>
  <c r="R15" i="5"/>
  <c r="S15" i="5"/>
  <c r="Q17" i="5"/>
  <c r="R17" i="5"/>
  <c r="S17" i="5"/>
  <c r="Q19" i="5"/>
  <c r="R19" i="5"/>
  <c r="S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B22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B6" i="16"/>
  <c r="B6" i="12" a="1"/>
  <c r="B6" i="12"/>
  <c r="B6" i="11"/>
  <c r="C6" i="16"/>
  <c r="C6" i="12"/>
  <c r="C6" i="11"/>
  <c r="U6" i="16"/>
  <c r="V6" i="16"/>
  <c r="W6" i="16"/>
  <c r="D6" i="16"/>
  <c r="D6" i="12"/>
  <c r="D6" i="11"/>
  <c r="E6" i="16"/>
  <c r="E6" i="12"/>
  <c r="E6" i="11"/>
  <c r="F6" i="16"/>
  <c r="F6" i="12"/>
  <c r="F6" i="11"/>
  <c r="X6" i="16"/>
  <c r="G6" i="16"/>
  <c r="G6" i="12"/>
  <c r="G6" i="11"/>
  <c r="H6" i="16"/>
  <c r="H6" i="12"/>
  <c r="H6" i="11"/>
  <c r="I6" i="16"/>
  <c r="I6" i="12"/>
  <c r="I6" i="11"/>
  <c r="J6" i="16"/>
  <c r="J6" i="12"/>
  <c r="J6" i="11"/>
  <c r="K6" i="16"/>
  <c r="K6" i="12"/>
  <c r="K6" i="11"/>
  <c r="L6" i="16"/>
  <c r="L6" i="12"/>
  <c r="L6" i="11"/>
  <c r="M6" i="16"/>
  <c r="M6" i="12"/>
  <c r="M6" i="11"/>
  <c r="N6" i="16"/>
  <c r="N6" i="12"/>
  <c r="N6" i="11"/>
  <c r="O6" i="16"/>
  <c r="O6" i="12"/>
  <c r="O6" i="11"/>
  <c r="P6" i="16"/>
  <c r="P6" i="12"/>
  <c r="P6" i="11"/>
  <c r="Q6" i="11"/>
  <c r="R6" i="11"/>
  <c r="S6" i="11"/>
  <c r="U6" i="12"/>
  <c r="U6" i="11"/>
  <c r="V6" i="12"/>
  <c r="V6" i="11"/>
  <c r="W6" i="12"/>
  <c r="W6" i="11"/>
  <c r="X6" i="12"/>
  <c r="X6" i="11"/>
  <c r="Y6" i="12"/>
  <c r="Y6" i="11"/>
  <c r="Z6" i="12"/>
  <c r="Z6" i="11"/>
  <c r="AA6" i="12"/>
  <c r="AA6" i="11"/>
  <c r="AB6" i="12"/>
  <c r="AB6" i="11"/>
  <c r="AC6" i="12"/>
  <c r="AC6" i="11"/>
  <c r="AD6" i="12"/>
  <c r="AD6" i="11"/>
  <c r="AE6" i="12"/>
  <c r="AE6" i="11"/>
  <c r="AF6" i="12"/>
  <c r="AF6" i="11"/>
  <c r="AG6" i="12"/>
  <c r="AG6" i="11"/>
  <c r="AH6" i="12"/>
  <c r="AH6" i="11"/>
  <c r="AI6" i="12"/>
  <c r="AI6" i="11"/>
  <c r="B8" i="16"/>
  <c r="B8" i="12" a="1"/>
  <c r="B8" i="12"/>
  <c r="B8" i="11"/>
  <c r="C8" i="16"/>
  <c r="C8" i="12"/>
  <c r="C8" i="11"/>
  <c r="U8" i="16"/>
  <c r="V8" i="16"/>
  <c r="W8" i="16"/>
  <c r="D8" i="16"/>
  <c r="D8" i="12"/>
  <c r="D8" i="11"/>
  <c r="E8" i="16"/>
  <c r="E8" i="12"/>
  <c r="E8" i="11"/>
  <c r="F8" i="16"/>
  <c r="F8" i="12"/>
  <c r="F8" i="11"/>
  <c r="X8" i="16"/>
  <c r="G8" i="16"/>
  <c r="G8" i="12"/>
  <c r="G8" i="11"/>
  <c r="H8" i="16"/>
  <c r="H8" i="12"/>
  <c r="H8" i="11"/>
  <c r="I8" i="16"/>
  <c r="I8" i="12"/>
  <c r="I8" i="11"/>
  <c r="J8" i="16"/>
  <c r="J8" i="12"/>
  <c r="J8" i="11"/>
  <c r="K8" i="16"/>
  <c r="K8" i="12"/>
  <c r="K8" i="11"/>
  <c r="L8" i="16"/>
  <c r="L8" i="12"/>
  <c r="L8" i="11"/>
  <c r="M8" i="16"/>
  <c r="M8" i="12"/>
  <c r="M8" i="11"/>
  <c r="N8" i="16"/>
  <c r="N8" i="12"/>
  <c r="N8" i="11"/>
  <c r="O8" i="16"/>
  <c r="O8" i="12"/>
  <c r="O8" i="11"/>
  <c r="P8" i="16"/>
  <c r="P8" i="12"/>
  <c r="P8" i="11"/>
  <c r="Q8" i="11"/>
  <c r="R8" i="11"/>
  <c r="S8" i="11"/>
  <c r="U8" i="12"/>
  <c r="U8" i="11"/>
  <c r="V8" i="12"/>
  <c r="V8" i="11"/>
  <c r="W8" i="12"/>
  <c r="W8" i="11"/>
  <c r="X8" i="12"/>
  <c r="X8" i="11"/>
  <c r="Y8" i="12"/>
  <c r="Y8" i="11"/>
  <c r="Z8" i="12"/>
  <c r="Z8" i="11"/>
  <c r="AA8" i="12"/>
  <c r="AA8" i="11"/>
  <c r="AB8" i="12"/>
  <c r="AB8" i="11"/>
  <c r="AC8" i="12"/>
  <c r="AC8" i="11"/>
  <c r="AD8" i="12"/>
  <c r="AD8" i="11"/>
  <c r="AE8" i="12"/>
  <c r="AE8" i="11"/>
  <c r="AF8" i="12"/>
  <c r="AF8" i="11"/>
  <c r="AG8" i="12"/>
  <c r="AG8" i="11"/>
  <c r="AH8" i="12"/>
  <c r="AH8" i="11"/>
  <c r="AI8" i="12"/>
  <c r="AI8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B15" i="16"/>
  <c r="B15" i="12"/>
  <c r="B15" i="11"/>
  <c r="C15" i="16"/>
  <c r="C15" i="12"/>
  <c r="C15" i="11"/>
  <c r="D15" i="16"/>
  <c r="D15" i="12"/>
  <c r="D15" i="11"/>
  <c r="E15" i="16"/>
  <c r="E15" i="12"/>
  <c r="E15" i="11"/>
  <c r="F15" i="16"/>
  <c r="F15" i="12"/>
  <c r="F15" i="11"/>
  <c r="G15" i="16"/>
  <c r="G15" i="12"/>
  <c r="G15" i="11"/>
  <c r="H15" i="16"/>
  <c r="H15" i="12"/>
  <c r="H15" i="11"/>
  <c r="I15" i="16"/>
  <c r="I15" i="12"/>
  <c r="I15" i="11"/>
  <c r="J15" i="16"/>
  <c r="J15" i="12"/>
  <c r="J15" i="11"/>
  <c r="K15" i="16"/>
  <c r="K15" i="12"/>
  <c r="K15" i="11"/>
  <c r="L15" i="16"/>
  <c r="L15" i="12"/>
  <c r="L15" i="11"/>
  <c r="M15" i="16"/>
  <c r="M15" i="12"/>
  <c r="M15" i="11"/>
  <c r="N15" i="16"/>
  <c r="N15" i="12"/>
  <c r="N15" i="11"/>
  <c r="O15" i="16"/>
  <c r="O15" i="12"/>
  <c r="O15" i="11"/>
  <c r="P15" i="16"/>
  <c r="P15" i="12"/>
  <c r="P15" i="11"/>
  <c r="Q15" i="11"/>
  <c r="R15" i="11"/>
  <c r="S15" i="11"/>
  <c r="U15" i="11" a="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B17" i="16"/>
  <c r="B17" i="12"/>
  <c r="B17" i="11"/>
  <c r="C17" i="16"/>
  <c r="C17" i="12"/>
  <c r="C17" i="11"/>
  <c r="D17" i="16"/>
  <c r="D17" i="12"/>
  <c r="D17" i="11"/>
  <c r="E17" i="16"/>
  <c r="E17" i="12"/>
  <c r="E17" i="11"/>
  <c r="F17" i="16"/>
  <c r="F17" i="12"/>
  <c r="F17" i="11"/>
  <c r="G17" i="16"/>
  <c r="G17" i="12"/>
  <c r="G17" i="11"/>
  <c r="H17" i="16"/>
  <c r="H17" i="12"/>
  <c r="H17" i="11"/>
  <c r="I17" i="16"/>
  <c r="I17" i="12"/>
  <c r="I17" i="11"/>
  <c r="J17" i="16"/>
  <c r="J17" i="12"/>
  <c r="J17" i="11"/>
  <c r="K17" i="16"/>
  <c r="K17" i="12"/>
  <c r="K17" i="11"/>
  <c r="L17" i="16"/>
  <c r="L17" i="12"/>
  <c r="L17" i="11"/>
  <c r="M17" i="16"/>
  <c r="M17" i="12"/>
  <c r="M17" i="11"/>
  <c r="N17" i="16"/>
  <c r="N17" i="12"/>
  <c r="N17" i="11"/>
  <c r="O17" i="16"/>
  <c r="O17" i="12"/>
  <c r="O17" i="11"/>
  <c r="P17" i="16"/>
  <c r="P17" i="12"/>
  <c r="P17" i="11"/>
  <c r="Q17" i="11"/>
  <c r="R17" i="11"/>
  <c r="S17" i="11"/>
  <c r="U17" i="11" a="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U19" i="11" a="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D42" i="11"/>
  <c r="D44" i="11"/>
  <c r="D46" i="11"/>
  <c r="D48" i="11"/>
  <c r="B43" i="11" a="1"/>
  <c r="D43" i="11"/>
  <c r="B45" i="11" a="1"/>
  <c r="D45" i="11"/>
  <c r="B47" i="11" a="1"/>
  <c r="D47" i="11"/>
  <c r="D49" i="11"/>
  <c r="D50" i="11"/>
  <c r="D21" i="11"/>
  <c r="G42" i="11"/>
  <c r="G44" i="11"/>
  <c r="G46" i="11"/>
  <c r="G48" i="11"/>
  <c r="G43" i="11"/>
  <c r="G45" i="11"/>
  <c r="G47" i="11"/>
  <c r="G49" i="11"/>
  <c r="G50" i="11"/>
  <c r="G21" i="11"/>
  <c r="U15" i="16"/>
  <c r="U15" i="12"/>
  <c r="U42" i="11"/>
  <c r="U17" i="16"/>
  <c r="U17" i="12"/>
  <c r="U44" i="11"/>
  <c r="U19" i="16"/>
  <c r="U19" i="12"/>
  <c r="U46" i="11"/>
  <c r="U48" i="11"/>
  <c r="U43" i="11"/>
  <c r="U45" i="11" a="1"/>
  <c r="U45" i="11"/>
  <c r="U47" i="11" a="1"/>
  <c r="U47" i="11"/>
  <c r="U49" i="11"/>
  <c r="U50" i="11"/>
  <c r="U21" i="11"/>
  <c r="V15" i="16"/>
  <c r="V15" i="12"/>
  <c r="V42" i="11"/>
  <c r="V17" i="16"/>
  <c r="V17" i="12"/>
  <c r="V44" i="11"/>
  <c r="V19" i="16"/>
  <c r="V19" i="12"/>
  <c r="V46" i="11"/>
  <c r="V48" i="11"/>
  <c r="V43" i="11"/>
  <c r="V45" i="11"/>
  <c r="V47" i="11"/>
  <c r="V49" i="11"/>
  <c r="V50" i="11"/>
  <c r="V21" i="11"/>
  <c r="W15" i="16"/>
  <c r="W15" i="12"/>
  <c r="W42" i="11"/>
  <c r="W17" i="16"/>
  <c r="W17" i="12"/>
  <c r="W44" i="11"/>
  <c r="W19" i="16"/>
  <c r="W19" i="12"/>
  <c r="W46" i="11"/>
  <c r="W48" i="11"/>
  <c r="W43" i="11"/>
  <c r="W45" i="11"/>
  <c r="W47" i="11"/>
  <c r="W49" i="11"/>
  <c r="W50" i="11"/>
  <c r="W21" i="11"/>
  <c r="X15" i="16"/>
  <c r="X15" i="12"/>
  <c r="X42" i="11"/>
  <c r="X17" i="16"/>
  <c r="X17" i="12"/>
  <c r="X44" i="11"/>
  <c r="X19" i="16"/>
  <c r="X19" i="12"/>
  <c r="X46" i="11"/>
  <c r="X48" i="11"/>
  <c r="X43" i="11"/>
  <c r="X45" i="11"/>
  <c r="X47" i="11"/>
  <c r="X49" i="11"/>
  <c r="X50" i="11"/>
  <c r="X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B23" i="11" a="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U24" i="11"/>
  <c r="V24" i="11"/>
  <c r="W24" i="11"/>
  <c r="X24" i="11"/>
  <c r="D25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U28" i="11"/>
  <c r="V28" i="11"/>
  <c r="W28" i="11"/>
  <c r="X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U29" i="11"/>
  <c r="V29" i="11"/>
  <c r="W29" i="11"/>
  <c r="X29" i="11"/>
  <c r="U30" i="11"/>
  <c r="V30" i="11"/>
  <c r="W30" i="11"/>
  <c r="D30" i="11"/>
  <c r="X30" i="11"/>
  <c r="D31" i="11"/>
  <c r="D32" i="11"/>
  <c r="D33" i="11"/>
  <c r="D34" i="11"/>
  <c r="B35" i="11"/>
  <c r="C35" i="11"/>
  <c r="U35" i="11"/>
  <c r="V35" i="11"/>
  <c r="W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B37" i="11"/>
  <c r="C37" i="11"/>
  <c r="U37" i="11"/>
  <c r="V37" i="11"/>
  <c r="W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H38" i="11"/>
  <c r="I38" i="11"/>
  <c r="J38" i="11"/>
  <c r="K38" i="11"/>
  <c r="L38" i="11"/>
  <c r="M38" i="11"/>
  <c r="N38" i="11"/>
  <c r="O38" i="11"/>
  <c r="P38" i="11"/>
  <c r="B39" i="11"/>
  <c r="C28" i="16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B42" i="11"/>
  <c r="C42" i="11"/>
  <c r="E42" i="11"/>
  <c r="F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Y15" i="12"/>
  <c r="Y42" i="11"/>
  <c r="Z15" i="12"/>
  <c r="Z42" i="11"/>
  <c r="AA15" i="12"/>
  <c r="AA42" i="11"/>
  <c r="AB15" i="12"/>
  <c r="AB42" i="11"/>
  <c r="AC15" i="12"/>
  <c r="AC42" i="11"/>
  <c r="AD15" i="12"/>
  <c r="AD42" i="11"/>
  <c r="AE15" i="12"/>
  <c r="AE42" i="11"/>
  <c r="AF15" i="12"/>
  <c r="AF42" i="11"/>
  <c r="AG15" i="12"/>
  <c r="AG42" i="11"/>
  <c r="AH15" i="12"/>
  <c r="AH42" i="11"/>
  <c r="AI15" i="12"/>
  <c r="AI42" i="11"/>
  <c r="B43" i="11"/>
  <c r="C43" i="11"/>
  <c r="E43" i="11"/>
  <c r="F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Y43" i="11"/>
  <c r="Z43" i="11"/>
  <c r="AA43" i="11"/>
  <c r="AB43" i="11"/>
  <c r="AC43" i="11"/>
  <c r="AD43" i="11"/>
  <c r="AE43" i="11"/>
  <c r="AF43" i="11"/>
  <c r="AG43" i="11"/>
  <c r="AH43" i="11"/>
  <c r="AI43" i="11"/>
  <c r="B44" i="11"/>
  <c r="C44" i="11"/>
  <c r="E44" i="11"/>
  <c r="F44" i="11"/>
  <c r="H44" i="11"/>
  <c r="I44" i="11"/>
  <c r="J44" i="11"/>
  <c r="K44" i="11"/>
  <c r="L44" i="11"/>
  <c r="M44" i="11"/>
  <c r="Y17" i="12"/>
  <c r="Y44" i="11"/>
  <c r="Z17" i="12"/>
  <c r="Z44" i="11"/>
  <c r="AA17" i="12"/>
  <c r="AA44" i="11"/>
  <c r="AB17" i="12"/>
  <c r="AB44" i="11"/>
  <c r="AC17" i="12"/>
  <c r="AC44" i="11"/>
  <c r="AD17" i="12"/>
  <c r="AD44" i="11"/>
  <c r="AE17" i="12"/>
  <c r="AE44" i="11"/>
  <c r="AF17" i="12"/>
  <c r="AF44" i="11"/>
  <c r="AG17" i="12"/>
  <c r="AG44" i="11"/>
  <c r="AH17" i="12"/>
  <c r="AH44" i="11"/>
  <c r="AI17" i="12"/>
  <c r="AI44" i="11"/>
  <c r="B45" i="11"/>
  <c r="C45" i="11"/>
  <c r="E45" i="11"/>
  <c r="F45" i="11"/>
  <c r="H45" i="11"/>
  <c r="I45" i="11"/>
  <c r="J45" i="11"/>
  <c r="K45" i="11"/>
  <c r="L45" i="11"/>
  <c r="M45" i="11"/>
  <c r="N45" i="11"/>
  <c r="O45" i="11"/>
  <c r="P45" i="11"/>
  <c r="Q45" i="11"/>
  <c r="R45" i="11"/>
  <c r="Y45" i="11"/>
  <c r="Z45" i="11"/>
  <c r="AA45" i="11"/>
  <c r="AB45" i="11"/>
  <c r="AC45" i="11"/>
  <c r="AD45" i="11"/>
  <c r="AE45" i="11"/>
  <c r="AF45" i="11"/>
  <c r="AG45" i="11"/>
  <c r="AH45" i="11"/>
  <c r="AI45" i="11"/>
  <c r="B46" i="11"/>
  <c r="C46" i="11"/>
  <c r="E46" i="11"/>
  <c r="F46" i="11"/>
  <c r="H46" i="11"/>
  <c r="I46" i="11"/>
  <c r="J46" i="11"/>
  <c r="K46" i="11"/>
  <c r="L46" i="11"/>
  <c r="M46" i="11"/>
  <c r="N46" i="11"/>
  <c r="O46" i="11"/>
  <c r="P46" i="11"/>
  <c r="Y19" i="12"/>
  <c r="Y46" i="11"/>
  <c r="Z19" i="12"/>
  <c r="Z46" i="11"/>
  <c r="AA19" i="12"/>
  <c r="AA46" i="11"/>
  <c r="AB19" i="12"/>
  <c r="AB46" i="11"/>
  <c r="AC19" i="12"/>
  <c r="AC46" i="11"/>
  <c r="AD19" i="12"/>
  <c r="AD46" i="11"/>
  <c r="AE19" i="12"/>
  <c r="AE46" i="11"/>
  <c r="AF19" i="12"/>
  <c r="AF46" i="11"/>
  <c r="AG19" i="12"/>
  <c r="AG46" i="11"/>
  <c r="AH19" i="12"/>
  <c r="AH46" i="11"/>
  <c r="AI19" i="12"/>
  <c r="AI46" i="11"/>
  <c r="B47" i="11"/>
  <c r="C47" i="11"/>
  <c r="E47" i="11"/>
  <c r="F47" i="11"/>
  <c r="H47" i="11"/>
  <c r="I47" i="11"/>
  <c r="J47" i="11"/>
  <c r="K47" i="11"/>
  <c r="L47" i="11"/>
  <c r="M47" i="11"/>
  <c r="N47" i="11"/>
  <c r="O47" i="11"/>
  <c r="P47" i="11"/>
  <c r="Y47" i="11"/>
  <c r="Z47" i="11"/>
  <c r="AA47" i="11"/>
  <c r="AB47" i="11"/>
  <c r="AC47" i="11"/>
  <c r="AD47" i="11"/>
  <c r="AE47" i="11"/>
  <c r="AF47" i="11"/>
  <c r="AG47" i="11"/>
  <c r="AH47" i="11"/>
  <c r="AI47" i="11"/>
  <c r="B48" i="11"/>
  <c r="C48" i="11"/>
  <c r="E48" i="11"/>
  <c r="F48" i="11"/>
  <c r="H48" i="11"/>
  <c r="I48" i="11"/>
  <c r="J48" i="11"/>
  <c r="K48" i="11"/>
  <c r="L48" i="11"/>
  <c r="M48" i="11"/>
  <c r="N48" i="11"/>
  <c r="O48" i="11"/>
  <c r="P48" i="11"/>
  <c r="Y48" i="11"/>
  <c r="Z48" i="11"/>
  <c r="B49" i="11"/>
  <c r="C49" i="11"/>
  <c r="E49" i="11"/>
  <c r="F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Y49" i="11"/>
  <c r="Z49" i="11"/>
  <c r="B50" i="11"/>
  <c r="C50" i="11"/>
  <c r="E50" i="11"/>
  <c r="F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Y50" i="11"/>
  <c r="Z50" i="11"/>
  <c r="AA50" i="11"/>
  <c r="AB50" i="11"/>
  <c r="AC50" i="11"/>
  <c r="AD50" i="11"/>
  <c r="AE50" i="11"/>
  <c r="AF50" i="11"/>
  <c r="AG50" i="11"/>
  <c r="AH50" i="11"/>
  <c r="AI50" i="11"/>
  <c r="B36" i="16"/>
  <c r="B37" i="12"/>
  <c r="B52" i="11"/>
  <c r="B37" i="16"/>
  <c r="B38" i="12"/>
  <c r="B53" i="11"/>
  <c r="B38" i="16"/>
  <c r="B39" i="12"/>
  <c r="B54" i="11"/>
  <c r="B39" i="16"/>
  <c r="B40" i="12"/>
  <c r="B55" i="11"/>
  <c r="B40" i="16"/>
  <c r="B41" i="12"/>
  <c r="B56" i="11"/>
  <c r="B41" i="16"/>
  <c r="B42" i="12"/>
  <c r="B57" i="11"/>
  <c r="B42" i="16"/>
  <c r="B43" i="12"/>
  <c r="B58" i="11"/>
  <c r="B43" i="16"/>
  <c r="B44" i="12"/>
  <c r="B59" i="11"/>
  <c r="B44" i="16"/>
  <c r="B45" i="12"/>
  <c r="B60" i="11"/>
  <c r="B45" i="16"/>
  <c r="B46" i="12"/>
  <c r="B61" i="11"/>
  <c r="B82" i="11"/>
  <c r="C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B84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B86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B88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B91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B93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B95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B96" i="11"/>
  <c r="C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Q6" i="12"/>
  <c r="R6" i="12"/>
  <c r="S6" i="12"/>
  <c r="Q8" i="12"/>
  <c r="R8" i="12"/>
  <c r="S8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Q15" i="12"/>
  <c r="R15" i="12"/>
  <c r="S15" i="12"/>
  <c r="Q17" i="12"/>
  <c r="R17" i="12"/>
  <c r="S17" i="12"/>
  <c r="Q19" i="12"/>
  <c r="R19" i="12"/>
  <c r="S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N86" i="12"/>
  <c r="O86" i="12"/>
  <c r="P86" i="12"/>
  <c r="Q86" i="12"/>
  <c r="R86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P89" i="12"/>
  <c r="Q89" i="12"/>
  <c r="R89" i="12"/>
  <c r="U101" i="12"/>
  <c r="V101" i="12"/>
  <c r="W101" i="12"/>
  <c r="X101" i="12"/>
  <c r="Y101" i="12"/>
  <c r="Z101" i="12"/>
  <c r="AA101" i="12"/>
  <c r="AB101" i="12"/>
  <c r="AC101" i="12"/>
  <c r="AD101" i="12"/>
  <c r="AE101" i="12"/>
  <c r="AF101" i="12"/>
  <c r="AG101" i="12"/>
  <c r="AH101" i="12"/>
  <c r="AI101" i="12"/>
  <c r="U103" i="12"/>
  <c r="V103" i="12"/>
  <c r="W103" i="12"/>
  <c r="X103" i="12"/>
  <c r="Y103" i="12"/>
  <c r="Z103" i="12"/>
  <c r="AA103" i="12"/>
  <c r="AB103" i="12"/>
  <c r="AC103" i="12"/>
  <c r="AD103" i="12"/>
  <c r="AE103" i="12"/>
  <c r="AF103" i="12"/>
  <c r="AG103" i="12"/>
  <c r="AH103" i="12"/>
  <c r="AI103" i="12"/>
  <c r="U105" i="12"/>
  <c r="V105" i="12"/>
  <c r="W105" i="12"/>
  <c r="X105" i="12"/>
  <c r="Y105" i="12"/>
  <c r="Z105" i="12"/>
  <c r="AA105" i="12"/>
  <c r="AB105" i="12"/>
  <c r="AC105" i="12"/>
  <c r="AD105" i="12"/>
  <c r="AE105" i="12"/>
  <c r="AF105" i="12"/>
  <c r="AG105" i="12"/>
  <c r="AH105" i="12"/>
  <c r="AI105" i="12"/>
  <c r="B108" i="12"/>
  <c r="Q6" i="16"/>
  <c r="R6" i="16"/>
  <c r="S6" i="16"/>
  <c r="D7" i="16"/>
  <c r="G7" i="16"/>
  <c r="J7" i="16"/>
  <c r="M7" i="16"/>
  <c r="P7" i="16"/>
  <c r="Q8" i="16"/>
  <c r="R8" i="16"/>
  <c r="S8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U10" i="16"/>
  <c r="V10" i="16"/>
  <c r="W10" i="16"/>
  <c r="X10" i="16"/>
  <c r="Y10" i="16"/>
  <c r="Z10" i="16"/>
  <c r="AA10" i="16"/>
  <c r="AB10" i="16"/>
  <c r="AC10" i="16"/>
  <c r="AD10" i="16"/>
  <c r="AE10" i="16"/>
  <c r="AF10" i="16"/>
  <c r="AG10" i="16"/>
  <c r="AH10" i="16"/>
  <c r="AI10" i="16"/>
  <c r="B20" i="16"/>
  <c r="B12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5" i="16"/>
  <c r="R15" i="16"/>
  <c r="S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7" i="16"/>
  <c r="R17" i="16"/>
  <c r="S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9" i="16"/>
  <c r="R19" i="16"/>
  <c r="S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U20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S24" i="16"/>
  <c r="Q25" i="16"/>
  <c r="R25" i="16"/>
  <c r="S25" i="16"/>
  <c r="D28" i="16"/>
  <c r="Q28" i="16"/>
  <c r="R28" i="16"/>
  <c r="S28" i="16"/>
  <c r="D30" i="16"/>
  <c r="D31" i="16"/>
  <c r="D33" i="16"/>
  <c r="D35" i="16"/>
  <c r="D36" i="16"/>
  <c r="D37" i="16"/>
  <c r="D38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P67" i="16"/>
  <c r="Q67" i="16"/>
  <c r="R67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P69" i="16"/>
  <c r="Q69" i="16"/>
  <c r="R69" i="16"/>
  <c r="G5" i="1"/>
  <c r="H5" i="1"/>
  <c r="P5" i="1"/>
  <c r="Q5" i="1"/>
  <c r="W5" i="1"/>
  <c r="X5" i="1"/>
  <c r="AB5" i="1"/>
  <c r="AC5" i="1"/>
  <c r="AD5" i="1"/>
  <c r="AE5" i="1"/>
  <c r="AF5" i="1"/>
  <c r="AG5" i="1"/>
  <c r="AI5" i="1"/>
  <c r="AK5" i="1"/>
  <c r="AL5" i="1"/>
  <c r="AM5" i="1"/>
  <c r="AN5" i="1"/>
  <c r="AO5" i="1"/>
  <c r="AR5" i="1"/>
  <c r="AS5" i="1"/>
  <c r="P10" i="3"/>
  <c r="P20" i="3"/>
  <c r="P22" i="3"/>
  <c r="N10" i="3"/>
  <c r="N20" i="3"/>
  <c r="N22" i="3"/>
  <c r="G7" i="1"/>
  <c r="O10" i="3"/>
  <c r="O20" i="3"/>
  <c r="O22" i="3"/>
  <c r="H7" i="1"/>
  <c r="M10" i="3"/>
  <c r="M20" i="3"/>
  <c r="M22" i="3"/>
  <c r="K10" i="3"/>
  <c r="K20" i="3"/>
  <c r="K22" i="3"/>
  <c r="P7" i="1"/>
  <c r="L10" i="3"/>
  <c r="L20" i="3"/>
  <c r="L22" i="3"/>
  <c r="Q7" i="1"/>
  <c r="D10" i="3"/>
  <c r="D20" i="3"/>
  <c r="D22" i="3"/>
  <c r="X7" i="1"/>
  <c r="AG7" i="1"/>
  <c r="G10" i="3"/>
  <c r="G20" i="3"/>
  <c r="G22" i="3"/>
  <c r="E10" i="3"/>
  <c r="E20" i="3"/>
  <c r="E22" i="3"/>
  <c r="AI7" i="1"/>
  <c r="F10" i="3"/>
  <c r="F20" i="3"/>
  <c r="F22" i="3"/>
  <c r="AK7" i="1"/>
  <c r="AL7" i="1"/>
  <c r="AN7" i="1"/>
  <c r="H10" i="3"/>
  <c r="H20" i="3"/>
  <c r="H22" i="3"/>
  <c r="AO7" i="1"/>
  <c r="J10" i="3"/>
  <c r="J20" i="3"/>
  <c r="J22" i="3"/>
  <c r="AR7" i="1"/>
  <c r="I10" i="3"/>
  <c r="I20" i="3"/>
  <c r="I22" i="3"/>
  <c r="AS7" i="1"/>
  <c r="A8" i="1"/>
  <c r="B8" i="1"/>
  <c r="G8" i="1"/>
  <c r="H8" i="1"/>
  <c r="K8" i="1"/>
  <c r="P8" i="1"/>
  <c r="Q8" i="1"/>
  <c r="W8" i="1"/>
  <c r="AB8" i="1"/>
  <c r="AC8" i="1"/>
  <c r="AD8" i="1"/>
  <c r="AF8" i="1"/>
  <c r="AI8" i="1"/>
  <c r="AK8" i="1"/>
  <c r="AL8" i="1"/>
  <c r="AN8" i="1"/>
  <c r="AR8" i="1"/>
  <c r="AS8" i="1"/>
  <c r="A9" i="1"/>
  <c r="B9" i="1"/>
  <c r="G9" i="1"/>
  <c r="H9" i="1"/>
  <c r="I9" i="1"/>
  <c r="K9" i="1"/>
  <c r="L9" i="1"/>
  <c r="P9" i="1"/>
  <c r="Q9" i="1"/>
  <c r="U9" i="1"/>
  <c r="W9" i="1"/>
  <c r="X9" i="1"/>
  <c r="AF9" i="1"/>
  <c r="AG9" i="1"/>
  <c r="AI9" i="1"/>
  <c r="AK9" i="1"/>
  <c r="AL9" i="1"/>
  <c r="AN9" i="1"/>
  <c r="AR9" i="1"/>
  <c r="AS9" i="1"/>
  <c r="A10" i="1"/>
  <c r="B10" i="1"/>
  <c r="G10" i="1"/>
  <c r="H10" i="1"/>
  <c r="I10" i="1"/>
  <c r="K10" i="1"/>
  <c r="P10" i="1"/>
  <c r="Q10" i="1"/>
  <c r="U10" i="1"/>
  <c r="W10" i="1"/>
  <c r="AC10" i="1"/>
  <c r="AD10" i="1"/>
  <c r="AE10" i="1"/>
  <c r="AF10" i="1"/>
  <c r="AL10" i="1"/>
  <c r="AM10" i="1"/>
  <c r="AN10" i="1"/>
  <c r="AR10" i="1"/>
  <c r="AS10" i="1"/>
  <c r="A11" i="1"/>
  <c r="B11" i="1"/>
  <c r="G11" i="1"/>
  <c r="H11" i="1"/>
  <c r="P11" i="1"/>
  <c r="Q11" i="1"/>
  <c r="W11" i="1"/>
  <c r="AF11" i="1"/>
  <c r="AI11" i="1"/>
  <c r="AK11" i="1"/>
  <c r="AN11" i="1"/>
  <c r="AS11" i="1"/>
  <c r="G14" i="1"/>
  <c r="H14" i="1"/>
  <c r="P14" i="1"/>
  <c r="Q14" i="1"/>
  <c r="AB14" i="1"/>
  <c r="AC14" i="1"/>
  <c r="AI14" i="1"/>
  <c r="AK14" i="1"/>
  <c r="AR14" i="1"/>
  <c r="AS14" i="1"/>
  <c r="A15" i="1"/>
  <c r="B15" i="1"/>
  <c r="G15" i="1"/>
  <c r="H15" i="1"/>
  <c r="P15" i="1"/>
  <c r="Q15" i="1"/>
  <c r="AB15" i="1"/>
  <c r="AC15" i="1"/>
  <c r="AI15" i="1"/>
  <c r="AK15" i="1"/>
  <c r="AR15" i="1"/>
  <c r="AS15" i="1"/>
  <c r="A16" i="1"/>
  <c r="B16" i="1"/>
  <c r="A17" i="1"/>
  <c r="B17" i="1"/>
  <c r="H17" i="1"/>
  <c r="Q17" i="1"/>
  <c r="AB17" i="1"/>
  <c r="AC17" i="1"/>
  <c r="A18" i="1"/>
  <c r="B18" i="1"/>
  <c r="G18" i="1"/>
  <c r="H18" i="1"/>
  <c r="P18" i="1"/>
  <c r="Q18" i="1"/>
  <c r="AB18" i="1"/>
  <c r="AC18" i="1"/>
  <c r="AI18" i="1"/>
  <c r="AK18" i="1"/>
  <c r="AL18" i="1"/>
  <c r="AR18" i="1"/>
  <c r="AS18" i="1"/>
  <c r="A19" i="1"/>
  <c r="B19" i="1"/>
  <c r="A21" i="1"/>
  <c r="B21" i="1"/>
  <c r="AC21" i="1"/>
  <c r="AD21" i="1"/>
  <c r="AK21" i="1"/>
  <c r="AL21" i="1"/>
  <c r="G25" i="1"/>
  <c r="H25" i="1"/>
  <c r="P25" i="1"/>
  <c r="Q25" i="1"/>
  <c r="AB25" i="1"/>
  <c r="AC25" i="1"/>
  <c r="AI25" i="1"/>
  <c r="AK25" i="1"/>
  <c r="AL25" i="1"/>
  <c r="A26" i="1"/>
  <c r="B26" i="1"/>
  <c r="A27" i="1"/>
  <c r="B27" i="1"/>
  <c r="A28" i="1"/>
  <c r="B28" i="1"/>
  <c r="A30" i="1"/>
  <c r="B30" i="1"/>
  <c r="Q6" i="3"/>
  <c r="R6" i="3"/>
  <c r="S6" i="3"/>
  <c r="M7" i="3"/>
  <c r="Q8" i="3"/>
  <c r="R8" i="3"/>
  <c r="S8" i="3"/>
  <c r="B10" i="3"/>
  <c r="C10" i="3"/>
  <c r="Q10" i="3"/>
  <c r="R10" i="3"/>
  <c r="S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B20" i="3"/>
  <c r="B12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5" i="3"/>
  <c r="R15" i="3"/>
  <c r="S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7" i="3"/>
  <c r="R17" i="3"/>
  <c r="S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9" i="3"/>
  <c r="R19" i="3"/>
  <c r="S19" i="3"/>
  <c r="C20" i="3"/>
  <c r="Q20" i="3"/>
  <c r="R20" i="3"/>
  <c r="S20" i="3"/>
  <c r="U20" i="3"/>
  <c r="B22" i="3"/>
  <c r="C22" i="3"/>
  <c r="Q22" i="3"/>
  <c r="R22" i="3"/>
  <c r="S22" i="3"/>
  <c r="Q25" i="3"/>
  <c r="R25" i="3"/>
  <c r="S25" i="3"/>
  <c r="D28" i="3"/>
  <c r="Q28" i="3"/>
  <c r="R28" i="3"/>
  <c r="S28" i="3"/>
  <c r="D30" i="3"/>
  <c r="D31" i="3"/>
  <c r="D33" i="3"/>
  <c r="D35" i="3"/>
  <c r="D36" i="3"/>
  <c r="D37" i="3"/>
  <c r="D38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G25" authorId="0">
      <text>
        <r>
          <rPr>
            <sz val="9"/>
            <color indexed="81"/>
            <rFont val="Geneva"/>
          </rPr>
          <t xml:space="preserve">Since base and stretch are costs for the overhead teams a lower % is better.
</t>
        </r>
      </text>
    </comment>
    <comment ref="P25" authorId="0">
      <text>
        <r>
          <rPr>
            <sz val="9"/>
            <color indexed="81"/>
            <rFont val="Geneva"/>
          </rPr>
          <t xml:space="preserve">Since base and stretch are costs for the overhead teams a lower % is better.
</t>
        </r>
      </text>
    </comment>
    <comment ref="AB25" authorId="0">
      <text>
        <r>
          <rPr>
            <sz val="9"/>
            <color indexed="81"/>
            <rFont val="Geneva"/>
          </rPr>
          <t xml:space="preserve">Since base and stretch are costs for the overhead teams a lower % is better.
</t>
        </r>
      </text>
    </comment>
    <comment ref="AI25" authorId="0">
      <text>
        <r>
          <rPr>
            <sz val="9"/>
            <color indexed="81"/>
            <rFont val="Geneva"/>
          </rPr>
          <t xml:space="preserve">Since base and stretch are costs for the overhead teams a lower % is better.
</t>
        </r>
      </text>
    </comment>
  </commentList>
</comments>
</file>

<file path=xl/sharedStrings.xml><?xml version="1.0" encoding="utf-8"?>
<sst xmlns="http://schemas.openxmlformats.org/spreadsheetml/2006/main" count="1593" uniqueCount="217">
  <si>
    <t>This Section is under construction until all data is entered. Shooting for 4/15</t>
  </si>
  <si>
    <t>4th Quarter 1997      Plan and Results</t>
  </si>
  <si>
    <t>3rd Quarter 1997      Plan and Results</t>
  </si>
  <si>
    <t>2nd Quarter 97 Plans and Results</t>
  </si>
  <si>
    <t>1st Quarter 97 Plans and Results</t>
  </si>
  <si>
    <t>4th Quarter 96 Plans and Results</t>
  </si>
  <si>
    <t>Data Entered</t>
  </si>
  <si>
    <t>Non $ Goal 1</t>
  </si>
  <si>
    <t>Non $ Goal 2</t>
  </si>
  <si>
    <t>Cycle Time Goal</t>
  </si>
  <si>
    <t>Group or Team</t>
  </si>
  <si>
    <t>% of Base</t>
  </si>
  <si>
    <t>% of Stretch</t>
  </si>
  <si>
    <t>Made Base</t>
  </si>
  <si>
    <t>Made Stretch</t>
  </si>
  <si>
    <t>Bottom Line Profit</t>
  </si>
  <si>
    <t>Operating Profit</t>
  </si>
  <si>
    <t xml:space="preserve">Last Losing Qtr </t>
  </si>
  <si>
    <t>Consecutive Quarters w/ Operating Profit</t>
  </si>
  <si>
    <t>Consecutive Quarters w/ Operating Loss</t>
  </si>
  <si>
    <t>Made Plan</t>
  </si>
  <si>
    <t>Operating Profit  Note 7</t>
  </si>
  <si>
    <t>Team CAE</t>
  </si>
  <si>
    <t>O</t>
  </si>
  <si>
    <t>no</t>
  </si>
  <si>
    <t>No</t>
  </si>
  <si>
    <t>Yes</t>
  </si>
  <si>
    <t>Testing Group</t>
  </si>
  <si>
    <t>Note 3</t>
  </si>
  <si>
    <t>Cust S</t>
  </si>
  <si>
    <t>Reports</t>
  </si>
  <si>
    <t>Palatine</t>
  </si>
  <si>
    <t>Pittsburgh</t>
  </si>
  <si>
    <t>YES</t>
  </si>
  <si>
    <t>Denver</t>
  </si>
  <si>
    <t>Note 1</t>
  </si>
  <si>
    <t>Note 8</t>
  </si>
  <si>
    <t>Houston</t>
  </si>
  <si>
    <t>Testing Core</t>
  </si>
  <si>
    <t>Note 4</t>
  </si>
  <si>
    <t>Equipment Group</t>
  </si>
  <si>
    <t>?</t>
  </si>
  <si>
    <t>Yes*</t>
  </si>
  <si>
    <t>Partnr</t>
  </si>
  <si>
    <t>E &amp; D</t>
  </si>
  <si>
    <t>Palatine Rental</t>
  </si>
  <si>
    <t>Cycle</t>
  </si>
  <si>
    <t>UK</t>
  </si>
  <si>
    <t>Note 2</t>
  </si>
  <si>
    <t>France</t>
  </si>
  <si>
    <t>Express</t>
  </si>
  <si>
    <t>Lean O</t>
  </si>
  <si>
    <t>Comm</t>
  </si>
  <si>
    <t>Not Yet</t>
  </si>
  <si>
    <t>Equipment Core</t>
  </si>
  <si>
    <t>Cust V</t>
  </si>
  <si>
    <t>Process</t>
  </si>
  <si>
    <t>Instruments</t>
  </si>
  <si>
    <t>Note 5</t>
  </si>
  <si>
    <t>Management Core Services</t>
  </si>
  <si>
    <t>*</t>
  </si>
  <si>
    <t>Team 92  Admin.</t>
  </si>
  <si>
    <t>NA</t>
  </si>
  <si>
    <t>Team 94   MIS</t>
  </si>
  <si>
    <t>Note 6</t>
  </si>
  <si>
    <t>Team 97   Accounting Finance</t>
  </si>
  <si>
    <t>Innov</t>
  </si>
  <si>
    <t>Suggest</t>
  </si>
  <si>
    <t xml:space="preserve">Team 90   </t>
  </si>
  <si>
    <r>
      <t xml:space="preserve">Projection was  a loss but </t>
    </r>
    <r>
      <rPr>
        <b/>
        <sz val="10"/>
        <rFont val="Geneva"/>
      </rPr>
      <t>actual</t>
    </r>
    <r>
      <rPr>
        <sz val="10"/>
        <rFont val="Geneva"/>
      </rPr>
      <t xml:space="preserve"> was a </t>
    </r>
    <r>
      <rPr>
        <b/>
        <sz val="10"/>
        <rFont val="Geneva"/>
      </rPr>
      <t>profit</t>
    </r>
  </si>
  <si>
    <t>Cust S =</t>
  </si>
  <si>
    <t>Customer Service</t>
  </si>
  <si>
    <t>Projection was  a loss and actual a greater loss</t>
  </si>
  <si>
    <t>Special Considerations</t>
  </si>
  <si>
    <t>Cust V =</t>
  </si>
  <si>
    <t>Customer Value</t>
  </si>
  <si>
    <t>Projection was  a profit but actual was a loss</t>
  </si>
  <si>
    <t xml:space="preserve">*  Team 90 agreed to cover payroll costs associated with severance pay.   This was not done in a  </t>
  </si>
  <si>
    <t>Lean O =</t>
  </si>
  <si>
    <t>Lean Organization</t>
  </si>
  <si>
    <t>Team was not set up to make ar profit.  Success is based on Group</t>
  </si>
  <si>
    <t xml:space="preserve"> consistent manor and some groups had significant cost impact which were not in their projections.</t>
  </si>
  <si>
    <t>Comm =</t>
  </si>
  <si>
    <t>Communication</t>
  </si>
  <si>
    <t>Projection was break-even but actual was a loss.</t>
  </si>
  <si>
    <t xml:space="preserve">The biggest hits were:  </t>
  </si>
  <si>
    <t>Innov  =</t>
  </si>
  <si>
    <t>Innovation</t>
  </si>
  <si>
    <r>
      <t xml:space="preserve">Projection was break-even but </t>
    </r>
    <r>
      <rPr>
        <b/>
        <sz val="10"/>
        <rFont val="Geneva"/>
      </rPr>
      <t>actual</t>
    </r>
    <r>
      <rPr>
        <sz val="10"/>
        <rFont val="Geneva"/>
      </rPr>
      <t xml:space="preserve"> was a </t>
    </r>
    <r>
      <rPr>
        <b/>
        <sz val="10"/>
        <rFont val="Geneva"/>
      </rPr>
      <t>profit.</t>
    </r>
  </si>
  <si>
    <t xml:space="preserve">  1) UK was charged for all of John Goods severance. </t>
  </si>
  <si>
    <t>E &amp; D  =</t>
  </si>
  <si>
    <t>Errors &amp; Defects</t>
  </si>
  <si>
    <t>Note 7</t>
  </si>
  <si>
    <t xml:space="preserve">All operating groups are to cover their share of overhead costs. </t>
  </si>
  <si>
    <t xml:space="preserve">  2) John Goods severance dropped Equipment Group below plan. </t>
  </si>
  <si>
    <t>Not Yet =</t>
  </si>
  <si>
    <t>Need to be addressed</t>
  </si>
  <si>
    <t xml:space="preserve">   In some cases this has not been calculated. </t>
  </si>
  <si>
    <t xml:space="preserve">  3) Team 92 was charged for payroll overhead associated with severance.</t>
  </si>
  <si>
    <t>Projection was  a loss and actual a smaller loss</t>
  </si>
  <si>
    <t>Note 9</t>
  </si>
  <si>
    <t xml:space="preserve">Office closed </t>
  </si>
  <si>
    <t>Projections are costs for overhead teams, a % less than 100% is the objective.</t>
  </si>
  <si>
    <t>Actual</t>
  </si>
  <si>
    <t>4th Qtr</t>
  </si>
  <si>
    <t xml:space="preserve">1st Qtr </t>
  </si>
  <si>
    <t xml:space="preserve">2nd Qtr </t>
  </si>
  <si>
    <t xml:space="preserve">3rd Qtr </t>
  </si>
  <si>
    <t>3rd Qtr</t>
  </si>
  <si>
    <t>Year</t>
  </si>
  <si>
    <t>TOTALS</t>
  </si>
  <si>
    <t>Plan Base</t>
  </si>
  <si>
    <t>Stretch Goal</t>
  </si>
  <si>
    <t>YTD 1997</t>
  </si>
  <si>
    <t>Sales (Dollars)</t>
  </si>
  <si>
    <t xml:space="preserve"> </t>
  </si>
  <si>
    <t>Operating Costs (Dollars)</t>
  </si>
  <si>
    <t>Team Operating Income Before MC</t>
  </si>
  <si>
    <t>Finance and Accounting $</t>
  </si>
  <si>
    <t>Information Services $</t>
  </si>
  <si>
    <t>HR and Training $</t>
  </si>
  <si>
    <t>Management Core Costs</t>
  </si>
  <si>
    <t>Teams Bottom Line (before 90 and variance)</t>
  </si>
  <si>
    <t>Team 90 Costs</t>
  </si>
  <si>
    <t>Overhead Variance</t>
  </si>
  <si>
    <t>Company Bottom Line Before tax</t>
  </si>
  <si>
    <t>ERROR due to currency and Unconsolidation</t>
  </si>
  <si>
    <r>
      <t>Tax Rate                                        (</t>
    </r>
    <r>
      <rPr>
        <i/>
        <sz val="10"/>
        <rFont val="Geneva"/>
      </rPr>
      <t>Actual Inc. P/L)</t>
    </r>
  </si>
  <si>
    <t>Actual Inc P/L</t>
  </si>
  <si>
    <t>(Actual UK  £)</t>
  </si>
  <si>
    <t>Actual UK  £</t>
  </si>
  <si>
    <t>UK  $</t>
  </si>
  <si>
    <t>Net Operating Income = Bottom Line*(1-tax rate)</t>
  </si>
  <si>
    <t>ERROR</t>
  </si>
  <si>
    <t>Accounts Recievable (average for period)</t>
  </si>
  <si>
    <t xml:space="preserve">Inventory </t>
  </si>
  <si>
    <t>Net Fixed and Other Assets</t>
  </si>
  <si>
    <t>Current Liabilities</t>
  </si>
  <si>
    <t>Current Liabilities Factor         OR             Other Assets</t>
  </si>
  <si>
    <t>Other Assets</t>
  </si>
  <si>
    <t>Average Operating Capital Requirement = A/R + Inventory + Net Fixed Assets + Other Assets - Estimated Current Liabilities</t>
  </si>
  <si>
    <t>Capital Charge = Average Operating Capital * Cost of Capital</t>
  </si>
  <si>
    <t>Cost of Capital</t>
  </si>
  <si>
    <t>Actual Interest Paid</t>
  </si>
  <si>
    <t>Economic Profit =  Net Operating Income - Capital Charge</t>
  </si>
  <si>
    <t>Rectification of Management Core Costs</t>
  </si>
  <si>
    <t>Finance &amp; Accounting totals from other teams</t>
  </si>
  <si>
    <t>Actual for Team 97</t>
  </si>
  <si>
    <t>Information Services $ totals from other teams</t>
  </si>
  <si>
    <t>Actual forTeam 94</t>
  </si>
  <si>
    <t>Admin, HR and Training totals from other teams</t>
  </si>
  <si>
    <t xml:space="preserve">Actual for Team 92 </t>
  </si>
  <si>
    <t>Team Core total from other teams</t>
  </si>
  <si>
    <t>Team 97 + 94 + 92 Actual</t>
  </si>
  <si>
    <t>Corp Core Ovh Variance</t>
  </si>
  <si>
    <t>Number of Groups Measuring Each Target</t>
  </si>
  <si>
    <t>Customer Satisfaction Targets</t>
  </si>
  <si>
    <t>Customer Value Targets</t>
  </si>
  <si>
    <t>Leadership Targets</t>
  </si>
  <si>
    <t>Lean Organization Target ($Throughput/Employee)</t>
  </si>
  <si>
    <t>Partnering Target</t>
  </si>
  <si>
    <t>Continuous Improvement Targets</t>
  </si>
  <si>
    <t>Deliverables (errors &amp; defects)</t>
  </si>
  <si>
    <t>Cycle time</t>
  </si>
  <si>
    <t>Communication and Information</t>
  </si>
  <si>
    <t>Number of Employees (~Avg for period)</t>
  </si>
  <si>
    <t>Sales per Employee  (Qrt * 4)</t>
  </si>
  <si>
    <t xml:space="preserve">Finance and Accounting % </t>
  </si>
  <si>
    <t>Information Services %</t>
  </si>
  <si>
    <t>HR and Training %</t>
  </si>
  <si>
    <t>TEAM 60</t>
  </si>
  <si>
    <t>Team Sales (65, 66, 68, 84, Lab 60)</t>
  </si>
  <si>
    <t xml:space="preserve"> Operating Costs (65, 66, 68, 84, Lab 60)</t>
  </si>
  <si>
    <t>Team Share of Management Core Services</t>
  </si>
  <si>
    <t>Total</t>
  </si>
  <si>
    <t>Team Bottom Line</t>
  </si>
  <si>
    <t>Tax Rate</t>
  </si>
  <si>
    <t xml:space="preserve">       </t>
  </si>
  <si>
    <t>Cost of Capital (for period)</t>
  </si>
  <si>
    <t>Pick at least two of the following:</t>
  </si>
  <si>
    <t>Lean Organization Target</t>
  </si>
  <si>
    <t>Communication &amp; Information</t>
  </si>
  <si>
    <t>DIfference between Mar 4th and Today</t>
  </si>
  <si>
    <t>Base Plan</t>
  </si>
  <si>
    <t>Strech Goal</t>
  </si>
  <si>
    <t>70,71,72,63/73 Consolidated sales</t>
  </si>
  <si>
    <t>Team Operating Costs</t>
  </si>
  <si>
    <t>Total of Corp Core Services</t>
  </si>
  <si>
    <t>Difference from 3/4/67</t>
  </si>
  <si>
    <t>SALES</t>
  </si>
  <si>
    <t>Operating Costs</t>
  </si>
  <si>
    <t>Team Share of Management Core</t>
  </si>
  <si>
    <t>Accounting &amp; Finance</t>
  </si>
  <si>
    <t>Admin, HR and Training $</t>
  </si>
  <si>
    <t>Team Bottom Line (Dollars)</t>
  </si>
  <si>
    <t>Current Liabilities Factor for Est = A/P/(A/R+Inv)</t>
  </si>
  <si>
    <t>Team 97 total from other teams</t>
  </si>
  <si>
    <t>Team 97</t>
  </si>
  <si>
    <t>Variance</t>
  </si>
  <si>
    <t>Finance and Accounting %</t>
  </si>
  <si>
    <t>Finance and Accounting  $</t>
  </si>
  <si>
    <t>x</t>
  </si>
  <si>
    <t>Team 94 revenues from other teams</t>
  </si>
  <si>
    <t>Team 94 Bottom Line as Cost</t>
  </si>
  <si>
    <t>Accumulative Variance</t>
  </si>
  <si>
    <t>Team 94 total from other teams</t>
  </si>
  <si>
    <t>Team 94</t>
  </si>
  <si>
    <t>Team 92 total from other teams</t>
  </si>
  <si>
    <t>Team 92</t>
  </si>
  <si>
    <t>Team 92 revenues from other teams</t>
  </si>
  <si>
    <t>Team 92 Bottom Line as Cost</t>
  </si>
  <si>
    <t>Year 97 Plan</t>
  </si>
  <si>
    <t>Year 97 Str</t>
  </si>
  <si>
    <t>Sales $</t>
  </si>
  <si>
    <t>Operating Expense $</t>
  </si>
  <si>
    <t>Team Bottom Line (Pounds)</t>
  </si>
  <si>
    <t>HR and Training totals from other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</si>
</sst>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6" formatCode="0.0%"/>
    <numFmt numFmtId="170" formatCode="\£#,##0_);[Red]\£\(#,##0\)"/>
  </numFmts>
  <fonts count="19" x14ac:knownFonts="1">
    <font>
      <sz val="10"/>
      <name val="Geneva"/>
    </font>
    <font>
      <b/>
      <sz val="10"/>
      <name val="Geneva"/>
    </font>
    <font>
      <i/>
      <sz val="10"/>
      <name val="Geneva"/>
    </font>
    <font>
      <sz val="10"/>
      <name val="Geneva"/>
    </font>
    <font>
      <b/>
      <u/>
      <sz val="10"/>
      <name val="Geneva"/>
    </font>
    <font>
      <sz val="9"/>
      <name val="Geneva"/>
    </font>
    <font>
      <u/>
      <sz val="10"/>
      <name val="Geneva"/>
    </font>
    <font>
      <sz val="10"/>
      <color indexed="32"/>
      <name val="Geneva"/>
    </font>
    <font>
      <sz val="10"/>
      <color indexed="10"/>
      <name val="Geneva"/>
    </font>
    <font>
      <b/>
      <sz val="10"/>
      <color indexed="10"/>
      <name val="Geneva"/>
    </font>
    <font>
      <i/>
      <sz val="9"/>
      <name val="Bookman Old Style"/>
    </font>
    <font>
      <sz val="10"/>
      <color indexed="11"/>
      <name val="Geneva"/>
    </font>
    <font>
      <b/>
      <sz val="10"/>
      <color indexed="11"/>
      <name val="Geneva"/>
    </font>
    <font>
      <b/>
      <sz val="9"/>
      <color indexed="10"/>
      <name val="Geneva"/>
    </font>
    <font>
      <b/>
      <sz val="9"/>
      <name val="Geneva"/>
    </font>
    <font>
      <sz val="10"/>
      <color indexed="8"/>
      <name val="Geneva"/>
    </font>
    <font>
      <sz val="8"/>
      <name val="Geneva"/>
    </font>
    <font>
      <sz val="9"/>
      <color indexed="10"/>
      <name val="Geneva"/>
    </font>
    <font>
      <sz val="9"/>
      <color indexed="81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>
        <fgColor indexed="9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65"/>
        <bgColor indexed="8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indexed="56"/>
      </left>
      <right/>
      <top style="thick">
        <color indexed="56"/>
      </top>
      <bottom/>
      <diagonal/>
    </border>
    <border>
      <left style="medium">
        <color auto="1"/>
      </left>
      <right/>
      <top style="thick">
        <color indexed="56"/>
      </top>
      <bottom/>
      <diagonal/>
    </border>
    <border>
      <left/>
      <right/>
      <top style="thick">
        <color indexed="56"/>
      </top>
      <bottom/>
      <diagonal/>
    </border>
    <border>
      <left/>
      <right style="medium">
        <color auto="1"/>
      </right>
      <top style="thick">
        <color indexed="56"/>
      </top>
      <bottom/>
      <diagonal/>
    </border>
    <border>
      <left style="thin">
        <color auto="1"/>
      </left>
      <right style="thick">
        <color indexed="56"/>
      </right>
      <top style="thick">
        <color indexed="56"/>
      </top>
      <bottom/>
      <diagonal/>
    </border>
    <border>
      <left style="thick">
        <color indexed="56"/>
      </left>
      <right/>
      <top/>
      <bottom/>
      <diagonal/>
    </border>
    <border>
      <left style="thin">
        <color auto="1"/>
      </left>
      <right style="thick">
        <color indexed="56"/>
      </right>
      <top/>
      <bottom/>
      <diagonal/>
    </border>
    <border>
      <left style="thick">
        <color indexed="56"/>
      </left>
      <right/>
      <top/>
      <bottom style="thin">
        <color auto="1"/>
      </bottom>
      <diagonal/>
    </border>
    <border>
      <left style="thin">
        <color auto="1"/>
      </left>
      <right style="thick">
        <color indexed="56"/>
      </right>
      <top/>
      <bottom style="medium">
        <color auto="1"/>
      </bottom>
      <diagonal/>
    </border>
    <border>
      <left/>
      <right style="thick">
        <color indexed="56"/>
      </right>
      <top/>
      <bottom/>
      <diagonal/>
    </border>
    <border>
      <left style="thick">
        <color indexed="56"/>
      </left>
      <right/>
      <top/>
      <bottom style="thick">
        <color indexed="56"/>
      </bottom>
      <diagonal/>
    </border>
    <border>
      <left/>
      <right style="thick">
        <color indexed="56"/>
      </right>
      <top/>
      <bottom style="thick">
        <color indexed="56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13">
    <xf numFmtId="0" fontId="0" fillId="0" borderId="0" xfId="0"/>
    <xf numFmtId="0" fontId="0" fillId="0" borderId="2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9" fontId="0" fillId="0" borderId="5" xfId="2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 wrapText="1"/>
    </xf>
    <xf numFmtId="3" fontId="0" fillId="0" borderId="5" xfId="0" applyNumberFormat="1" applyBorder="1"/>
    <xf numFmtId="3" fontId="0" fillId="0" borderId="0" xfId="0" applyNumberFormat="1"/>
    <xf numFmtId="3" fontId="0" fillId="0" borderId="1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Border="1"/>
    <xf numFmtId="3" fontId="0" fillId="0" borderId="2" xfId="0" applyNumberFormat="1" applyBorder="1"/>
    <xf numFmtId="3" fontId="0" fillId="0" borderId="8" xfId="0" applyNumberFormat="1" applyBorder="1"/>
    <xf numFmtId="3" fontId="1" fillId="0" borderId="2" xfId="0" applyNumberFormat="1" applyFont="1" applyBorder="1" applyAlignment="1">
      <alignment horizontal="right"/>
    </xf>
    <xf numFmtId="3" fontId="0" fillId="0" borderId="3" xfId="0" applyNumberFormat="1" applyBorder="1"/>
    <xf numFmtId="3" fontId="0" fillId="0" borderId="4" xfId="0" applyNumberFormat="1" applyBorder="1"/>
    <xf numFmtId="3" fontId="0" fillId="0" borderId="0" xfId="0" applyNumberFormat="1" applyAlignment="1">
      <alignment horizontal="right"/>
    </xf>
    <xf numFmtId="3" fontId="0" fillId="0" borderId="6" xfId="0" applyNumberFormat="1" applyBorder="1"/>
    <xf numFmtId="0" fontId="1" fillId="0" borderId="2" xfId="0" applyFont="1" applyBorder="1" applyAlignment="1">
      <alignment horizontal="right"/>
    </xf>
    <xf numFmtId="9" fontId="0" fillId="0" borderId="0" xfId="2" applyFont="1" applyBorder="1"/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2" xfId="0" applyNumberFormat="1" applyBorder="1" applyAlignment="1">
      <alignment horizontal="right"/>
    </xf>
    <xf numFmtId="9" fontId="0" fillId="0" borderId="6" xfId="2" applyFont="1" applyBorder="1"/>
    <xf numFmtId="3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5" xfId="1" applyNumberFormat="1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9" fontId="0" fillId="0" borderId="0" xfId="2" applyFont="1"/>
    <xf numFmtId="164" fontId="0" fillId="0" borderId="0" xfId="1" applyNumberFormat="1" applyFont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3" xfId="1" applyNumberFormat="1" applyFont="1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164" fontId="0" fillId="0" borderId="0" xfId="1" applyNumberFormat="1" applyFont="1" applyAlignment="1">
      <alignment wrapText="1"/>
    </xf>
    <xf numFmtId="3" fontId="1" fillId="0" borderId="0" xfId="0" applyNumberFormat="1" applyFont="1" applyBorder="1" applyAlignment="1">
      <alignment horizontal="right"/>
    </xf>
    <xf numFmtId="9" fontId="0" fillId="0" borderId="5" xfId="2" applyFont="1" applyBorder="1" applyAlignment="1">
      <alignment horizontal="right"/>
    </xf>
    <xf numFmtId="9" fontId="0" fillId="0" borderId="0" xfId="2" applyFont="1" applyAlignment="1">
      <alignment horizontal="right" wrapText="1"/>
    </xf>
    <xf numFmtId="0" fontId="5" fillId="0" borderId="0" xfId="0" applyFont="1" applyAlignment="1">
      <alignment horizontal="right"/>
    </xf>
    <xf numFmtId="164" fontId="3" fillId="0" borderId="5" xfId="1" applyNumberFormat="1" applyFont="1" applyBorder="1"/>
    <xf numFmtId="164" fontId="3" fillId="0" borderId="0" xfId="1" applyNumberFormat="1" applyFont="1" applyBorder="1"/>
    <xf numFmtId="164" fontId="3" fillId="0" borderId="6" xfId="1" applyNumberFormat="1" applyFont="1" applyBorder="1"/>
    <xf numFmtId="164" fontId="3" fillId="0" borderId="0" xfId="1" applyNumberFormat="1" applyFont="1"/>
    <xf numFmtId="3" fontId="1" fillId="0" borderId="8" xfId="0" applyNumberFormat="1" applyFont="1" applyBorder="1" applyAlignment="1">
      <alignment horizontal="right"/>
    </xf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8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9" fontId="0" fillId="0" borderId="0" xfId="2" applyFont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5" xfId="0" applyFont="1" applyBorder="1"/>
    <xf numFmtId="164" fontId="0" fillId="0" borderId="3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wrapText="1"/>
    </xf>
    <xf numFmtId="164" fontId="0" fillId="0" borderId="3" xfId="0" applyNumberFormat="1" applyBorder="1"/>
    <xf numFmtId="164" fontId="5" fillId="0" borderId="6" xfId="1" applyNumberFormat="1" applyFont="1" applyBorder="1"/>
    <xf numFmtId="164" fontId="0" fillId="0" borderId="0" xfId="1" applyNumberFormat="1" applyFont="1" applyBorder="1" applyAlignment="1">
      <alignment horizontal="right"/>
    </xf>
    <xf numFmtId="164" fontId="1" fillId="0" borderId="0" xfId="1" applyNumberFormat="1" applyFont="1" applyBorder="1"/>
    <xf numFmtId="164" fontId="0" fillId="0" borderId="0" xfId="1" applyNumberFormat="1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/>
    <xf numFmtId="3" fontId="0" fillId="0" borderId="14" xfId="0" applyNumberFormat="1" applyBorder="1"/>
    <xf numFmtId="0" fontId="0" fillId="0" borderId="15" xfId="0" applyBorder="1"/>
    <xf numFmtId="3" fontId="0" fillId="0" borderId="15" xfId="0" applyNumberFormat="1" applyBorder="1"/>
    <xf numFmtId="9" fontId="0" fillId="0" borderId="14" xfId="2" applyFont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3" fillId="0" borderId="14" xfId="1" applyNumberFormat="1" applyFont="1" applyBorder="1"/>
    <xf numFmtId="0" fontId="0" fillId="0" borderId="16" xfId="0" applyBorder="1"/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/>
    <xf numFmtId="17" fontId="1" fillId="0" borderId="18" xfId="0" applyNumberFormat="1" applyFont="1" applyBorder="1" applyAlignment="1">
      <alignment horizontal="center" vertical="center"/>
    </xf>
    <xf numFmtId="3" fontId="0" fillId="0" borderId="18" xfId="0" applyNumberFormat="1" applyBorder="1"/>
    <xf numFmtId="3" fontId="1" fillId="0" borderId="19" xfId="0" applyNumberFormat="1" applyFont="1" applyBorder="1"/>
    <xf numFmtId="9" fontId="0" fillId="0" borderId="18" xfId="2" applyFont="1" applyBorder="1"/>
    <xf numFmtId="0" fontId="0" fillId="0" borderId="20" xfId="0" applyBorder="1"/>
    <xf numFmtId="3" fontId="3" fillId="0" borderId="19" xfId="1" applyNumberFormat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164" fontId="5" fillId="0" borderId="4" xfId="1" applyNumberFormat="1" applyFont="1" applyBorder="1"/>
    <xf numFmtId="164" fontId="5" fillId="0" borderId="3" xfId="1" applyNumberFormat="1" applyFont="1" applyBorder="1"/>
    <xf numFmtId="164" fontId="5" fillId="0" borderId="2" xfId="1" applyNumberFormat="1" applyFont="1" applyBorder="1"/>
    <xf numFmtId="164" fontId="5" fillId="0" borderId="7" xfId="1" applyNumberFormat="1" applyFont="1" applyBorder="1"/>
    <xf numFmtId="164" fontId="5" fillId="0" borderId="8" xfId="1" applyNumberFormat="1" applyFont="1" applyBorder="1"/>
    <xf numFmtId="164" fontId="5" fillId="0" borderId="5" xfId="1" applyNumberFormat="1" applyFont="1" applyBorder="1"/>
    <xf numFmtId="164" fontId="5" fillId="0" borderId="0" xfId="1" applyNumberFormat="1" applyFont="1" applyBorder="1"/>
    <xf numFmtId="164" fontId="5" fillId="0" borderId="9" xfId="1" applyNumberFormat="1" applyFont="1" applyBorder="1"/>
    <xf numFmtId="164" fontId="0" fillId="2" borderId="0" xfId="1" applyNumberFormat="1" applyFont="1" applyFill="1" applyAlignment="1">
      <alignment horizontal="right"/>
    </xf>
    <xf numFmtId="164" fontId="0" fillId="2" borderId="5" xfId="1" applyNumberFormat="1" applyFont="1" applyFill="1" applyBorder="1"/>
    <xf numFmtId="164" fontId="0" fillId="2" borderId="0" xfId="1" applyNumberFormat="1" applyFont="1" applyFill="1" applyBorder="1"/>
    <xf numFmtId="164" fontId="0" fillId="2" borderId="6" xfId="1" applyNumberFormat="1" applyFont="1" applyFill="1" applyBorder="1"/>
    <xf numFmtId="164" fontId="0" fillId="2" borderId="0" xfId="1" applyNumberFormat="1" applyFont="1" applyFill="1" applyBorder="1" applyAlignment="1">
      <alignment horizontal="right"/>
    </xf>
    <xf numFmtId="164" fontId="0" fillId="2" borderId="14" xfId="1" applyNumberFormat="1" applyFont="1" applyFill="1" applyBorder="1"/>
    <xf numFmtId="0" fontId="0" fillId="2" borderId="0" xfId="0" applyFill="1"/>
    <xf numFmtId="164" fontId="0" fillId="2" borderId="18" xfId="1" applyNumberFormat="1" applyFont="1" applyFill="1" applyBorder="1"/>
    <xf numFmtId="0" fontId="0" fillId="2" borderId="18" xfId="0" applyFill="1" applyBorder="1"/>
    <xf numFmtId="164" fontId="0" fillId="2" borderId="2" xfId="1" applyNumberFormat="1" applyFont="1" applyFill="1" applyBorder="1" applyAlignment="1">
      <alignment horizontal="right"/>
    </xf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164" fontId="0" fillId="2" borderId="2" xfId="1" applyNumberFormat="1" applyFont="1" applyFill="1" applyBorder="1"/>
    <xf numFmtId="164" fontId="0" fillId="0" borderId="4" xfId="0" applyNumberFormat="1" applyBorder="1"/>
    <xf numFmtId="38" fontId="0" fillId="0" borderId="5" xfId="0" applyNumberFormat="1" applyBorder="1"/>
    <xf numFmtId="38" fontId="0" fillId="0" borderId="0" xfId="0" applyNumberFormat="1" applyBorder="1"/>
    <xf numFmtId="38" fontId="0" fillId="0" borderId="6" xfId="0" applyNumberFormat="1" applyBorder="1"/>
    <xf numFmtId="38" fontId="0" fillId="0" borderId="14" xfId="0" applyNumberFormat="1" applyBorder="1"/>
    <xf numFmtId="38" fontId="0" fillId="0" borderId="0" xfId="0" applyNumberFormat="1"/>
    <xf numFmtId="9" fontId="0" fillId="0" borderId="0" xfId="2" applyFont="1" applyBorder="1" applyAlignment="1">
      <alignment wrapText="1"/>
    </xf>
    <xf numFmtId="9" fontId="0" fillId="0" borderId="0" xfId="2" applyFont="1" applyBorder="1" applyAlignment="1">
      <alignment horizontal="right"/>
    </xf>
    <xf numFmtId="166" fontId="0" fillId="0" borderId="6" xfId="2" applyNumberFormat="1" applyFont="1" applyBorder="1"/>
    <xf numFmtId="3" fontId="3" fillId="2" borderId="19" xfId="1" applyNumberFormat="1" applyFont="1" applyFill="1" applyBorder="1"/>
    <xf numFmtId="164" fontId="0" fillId="0" borderId="18" xfId="1" applyNumberFormat="1" applyFont="1" applyBorder="1"/>
    <xf numFmtId="164" fontId="0" fillId="0" borderId="20" xfId="1" applyNumberFormat="1" applyFont="1" applyBorder="1"/>
    <xf numFmtId="1" fontId="0" fillId="0" borderId="0" xfId="0" applyNumberFormat="1"/>
    <xf numFmtId="164" fontId="0" fillId="0" borderId="0" xfId="0" applyNumberFormat="1"/>
    <xf numFmtId="164" fontId="0" fillId="2" borderId="0" xfId="1" applyNumberFormat="1" applyFont="1" applyFill="1"/>
    <xf numFmtId="164" fontId="0" fillId="0" borderId="21" xfId="0" applyNumberFormat="1" applyBorder="1"/>
    <xf numFmtId="164" fontId="2" fillId="0" borderId="5" xfId="1" applyNumberFormat="1" applyFont="1" applyBorder="1"/>
    <xf numFmtId="164" fontId="2" fillId="0" borderId="0" xfId="1" applyNumberFormat="1" applyFont="1" applyBorder="1"/>
    <xf numFmtId="164" fontId="2" fillId="0" borderId="6" xfId="1" applyNumberFormat="1" applyFont="1" applyBorder="1"/>
    <xf numFmtId="0" fontId="2" fillId="0" borderId="0" xfId="0" applyFont="1"/>
    <xf numFmtId="164" fontId="2" fillId="0" borderId="18" xfId="1" applyNumberFormat="1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3" fontId="0" fillId="0" borderId="23" xfId="0" applyNumberFormat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3" fontId="1" fillId="0" borderId="24" xfId="0" applyNumberFormat="1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9" fontId="0" fillId="0" borderId="23" xfId="2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4" fontId="0" fillId="0" borderId="24" xfId="1" applyNumberFormat="1" applyFont="1" applyBorder="1" applyAlignment="1">
      <alignment horizontal="right"/>
    </xf>
    <xf numFmtId="164" fontId="2" fillId="0" borderId="23" xfId="1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164" fontId="0" fillId="0" borderId="23" xfId="1" applyNumberFormat="1" applyFont="1" applyBorder="1" applyAlignment="1">
      <alignment wrapText="1"/>
    </xf>
    <xf numFmtId="9" fontId="0" fillId="0" borderId="23" xfId="2" applyFont="1" applyBorder="1" applyAlignment="1">
      <alignment horizontal="right" wrapText="1"/>
    </xf>
    <xf numFmtId="0" fontId="5" fillId="0" borderId="23" xfId="0" applyFont="1" applyBorder="1" applyAlignment="1">
      <alignment horizontal="right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1" fillId="0" borderId="23" xfId="0" applyFont="1" applyBorder="1" applyAlignment="1">
      <alignment wrapText="1"/>
    </xf>
    <xf numFmtId="0" fontId="0" fillId="0" borderId="24" xfId="0" applyBorder="1" applyAlignment="1">
      <alignment horizontal="right" wrapText="1"/>
    </xf>
    <xf numFmtId="38" fontId="0" fillId="0" borderId="23" xfId="0" applyNumberFormat="1" applyBorder="1" applyAlignment="1">
      <alignment horizontal="right" wrapText="1"/>
    </xf>
    <xf numFmtId="0" fontId="4" fillId="0" borderId="23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/>
    <xf numFmtId="164" fontId="2" fillId="0" borderId="0" xfId="0" applyNumberFormat="1" applyFont="1"/>
    <xf numFmtId="164" fontId="0" fillId="2" borderId="18" xfId="0" applyNumberFormat="1" applyFill="1" applyBorder="1"/>
    <xf numFmtId="3" fontId="0" fillId="2" borderId="5" xfId="0" applyNumberFormat="1" applyFill="1" applyBorder="1"/>
    <xf numFmtId="164" fontId="0" fillId="0" borderId="2" xfId="0" applyNumberFormat="1" applyBorder="1"/>
    <xf numFmtId="164" fontId="0" fillId="0" borderId="28" xfId="1" applyNumberFormat="1" applyFont="1" applyBorder="1"/>
    <xf numFmtId="164" fontId="0" fillId="0" borderId="0" xfId="1" applyNumberFormat="1" applyFont="1" applyAlignment="1">
      <alignment horizontal="right" wrapText="1"/>
    </xf>
    <xf numFmtId="38" fontId="0" fillId="0" borderId="5" xfId="1" applyNumberFormat="1" applyFont="1" applyBorder="1"/>
    <xf numFmtId="38" fontId="0" fillId="0" borderId="0" xfId="1" applyNumberFormat="1" applyFont="1" applyBorder="1"/>
    <xf numFmtId="38" fontId="0" fillId="0" borderId="6" xfId="1" applyNumberFormat="1" applyFont="1" applyBorder="1"/>
    <xf numFmtId="38" fontId="0" fillId="0" borderId="0" xfId="0" applyNumberFormat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0" xfId="0" applyBorder="1" applyAlignment="1">
      <alignment wrapText="1"/>
    </xf>
    <xf numFmtId="0" fontId="0" fillId="0" borderId="32" xfId="0" applyBorder="1"/>
    <xf numFmtId="0" fontId="0" fillId="0" borderId="33" xfId="0" applyBorder="1"/>
    <xf numFmtId="38" fontId="0" fillId="0" borderId="2" xfId="0" applyNumberFormat="1" applyBorder="1"/>
    <xf numFmtId="38" fontId="0" fillId="0" borderId="2" xfId="1" applyNumberFormat="1" applyFont="1" applyBorder="1"/>
    <xf numFmtId="38" fontId="0" fillId="0" borderId="33" xfId="0" applyNumberFormat="1" applyBorder="1"/>
    <xf numFmtId="38" fontId="0" fillId="0" borderId="3" xfId="1" applyNumberFormat="1" applyFont="1" applyBorder="1"/>
    <xf numFmtId="38" fontId="0" fillId="0" borderId="4" xfId="1" applyNumberFormat="1" applyFont="1" applyBorder="1"/>
    <xf numFmtId="164" fontId="0" fillId="0" borderId="10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0" fontId="1" fillId="0" borderId="21" xfId="0" applyFont="1" applyBorder="1" applyAlignment="1">
      <alignment horizontal="right"/>
    </xf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0" fontId="0" fillId="0" borderId="35" xfId="0" applyBorder="1"/>
    <xf numFmtId="164" fontId="0" fillId="0" borderId="37" xfId="1" applyNumberFormat="1" applyFont="1" applyBorder="1"/>
    <xf numFmtId="164" fontId="0" fillId="2" borderId="0" xfId="0" applyNumberFormat="1" applyFill="1"/>
    <xf numFmtId="0" fontId="0" fillId="0" borderId="10" xfId="0" applyBorder="1"/>
    <xf numFmtId="3" fontId="0" fillId="0" borderId="11" xfId="0" applyNumberFormat="1" applyBorder="1"/>
    <xf numFmtId="0" fontId="0" fillId="0" borderId="11" xfId="0" applyBorder="1"/>
    <xf numFmtId="0" fontId="0" fillId="0" borderId="12" xfId="0" applyBorder="1"/>
    <xf numFmtId="164" fontId="0" fillId="0" borderId="6" xfId="1" applyNumberFormat="1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3" fontId="0" fillId="0" borderId="37" xfId="0" applyNumberFormat="1" applyBorder="1"/>
    <xf numFmtId="0" fontId="0" fillId="0" borderId="37" xfId="0" applyBorder="1"/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" fontId="1" fillId="2" borderId="18" xfId="0" applyNumberFormat="1" applyFont="1" applyFill="1" applyBorder="1" applyAlignment="1">
      <alignment horizontal="center" vertical="center"/>
    </xf>
    <xf numFmtId="3" fontId="1" fillId="2" borderId="19" xfId="0" applyNumberFormat="1" applyFont="1" applyFill="1" applyBorder="1"/>
    <xf numFmtId="164" fontId="0" fillId="2" borderId="37" xfId="1" applyNumberFormat="1" applyFont="1" applyFill="1" applyBorder="1"/>
    <xf numFmtId="164" fontId="2" fillId="2" borderId="18" xfId="1" applyNumberFormat="1" applyFont="1" applyFill="1" applyBorder="1"/>
    <xf numFmtId="164" fontId="0" fillId="2" borderId="20" xfId="1" applyNumberFormat="1" applyFont="1" applyFill="1" applyBorder="1"/>
    <xf numFmtId="164" fontId="2" fillId="2" borderId="0" xfId="1" applyNumberFormat="1" applyFont="1" applyFill="1"/>
    <xf numFmtId="164" fontId="2" fillId="2" borderId="0" xfId="0" applyNumberFormat="1" applyFont="1" applyFill="1"/>
    <xf numFmtId="9" fontId="0" fillId="2" borderId="0" xfId="2" applyFont="1" applyFill="1"/>
    <xf numFmtId="164" fontId="0" fillId="2" borderId="21" xfId="0" applyNumberFormat="1" applyFill="1" applyBorder="1"/>
    <xf numFmtId="38" fontId="0" fillId="2" borderId="0" xfId="0" applyNumberFormat="1" applyFill="1"/>
    <xf numFmtId="164" fontId="0" fillId="2" borderId="35" xfId="1" applyNumberFormat="1" applyFont="1" applyFill="1" applyBorder="1"/>
    <xf numFmtId="164" fontId="0" fillId="0" borderId="35" xfId="1" applyNumberFormat="1" applyFont="1" applyBorder="1"/>
    <xf numFmtId="164" fontId="2" fillId="0" borderId="0" xfId="1" applyNumberFormat="1" applyFont="1" applyAlignment="1">
      <alignment horizontal="left"/>
    </xf>
    <xf numFmtId="170" fontId="2" fillId="2" borderId="0" xfId="0" applyNumberFormat="1" applyFont="1" applyFill="1"/>
    <xf numFmtId="170" fontId="2" fillId="0" borderId="0" xfId="0" applyNumberFormat="1" applyFont="1"/>
    <xf numFmtId="0" fontId="0" fillId="0" borderId="38" xfId="0" applyBorder="1" applyAlignment="1">
      <alignment horizontal="center"/>
    </xf>
    <xf numFmtId="164" fontId="0" fillId="0" borderId="26" xfId="1" applyNumberFormat="1" applyFont="1" applyBorder="1"/>
    <xf numFmtId="164" fontId="0" fillId="0" borderId="26" xfId="1" applyNumberFormat="1" applyFont="1" applyBorder="1" applyAlignment="1">
      <alignment horizontal="right"/>
    </xf>
    <xf numFmtId="164" fontId="0" fillId="0" borderId="27" xfId="1" applyNumberFormat="1" applyFont="1" applyBorder="1"/>
    <xf numFmtId="3" fontId="0" fillId="0" borderId="27" xfId="0" applyNumberFormat="1" applyBorder="1"/>
    <xf numFmtId="9" fontId="0" fillId="0" borderId="26" xfId="2" applyFont="1" applyBorder="1"/>
    <xf numFmtId="164" fontId="0" fillId="0" borderId="27" xfId="1" applyNumberFormat="1" applyFont="1" applyBorder="1" applyAlignment="1">
      <alignment horizontal="right"/>
    </xf>
    <xf numFmtId="0" fontId="0" fillId="0" borderId="26" xfId="0" applyBorder="1"/>
    <xf numFmtId="0" fontId="0" fillId="0" borderId="39" xfId="0" applyBorder="1"/>
    <xf numFmtId="0" fontId="0" fillId="0" borderId="28" xfId="0" applyBorder="1"/>
    <xf numFmtId="0" fontId="0" fillId="0" borderId="28" xfId="0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28" xfId="0" applyFont="1" applyBorder="1"/>
    <xf numFmtId="9" fontId="0" fillId="0" borderId="28" xfId="2" applyFont="1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28" xfId="0" applyBorder="1" applyAlignment="1">
      <alignment wrapText="1"/>
    </xf>
    <xf numFmtId="0" fontId="0" fillId="0" borderId="33" xfId="0" applyBorder="1" applyAlignment="1">
      <alignment wrapText="1"/>
    </xf>
    <xf numFmtId="0" fontId="4" fillId="0" borderId="28" xfId="0" applyFont="1" applyBorder="1" applyAlignment="1">
      <alignment horizontal="center" wrapText="1"/>
    </xf>
    <xf numFmtId="0" fontId="0" fillId="0" borderId="40" xfId="0" applyBorder="1"/>
    <xf numFmtId="164" fontId="0" fillId="0" borderId="0" xfId="0" applyNumberFormat="1" applyBorder="1"/>
    <xf numFmtId="164" fontId="0" fillId="0" borderId="6" xfId="0" applyNumberFormat="1" applyBorder="1"/>
    <xf numFmtId="0" fontId="0" fillId="0" borderId="41" xfId="0" applyBorder="1" applyAlignment="1">
      <alignment horizontal="right"/>
    </xf>
    <xf numFmtId="3" fontId="0" fillId="0" borderId="42" xfId="0" applyNumberFormat="1" applyBorder="1"/>
    <xf numFmtId="3" fontId="0" fillId="0" borderId="43" xfId="0" applyNumberFormat="1" applyBorder="1"/>
    <xf numFmtId="3" fontId="0" fillId="0" borderId="44" xfId="0" applyNumberFormat="1" applyBorder="1"/>
    <xf numFmtId="164" fontId="0" fillId="0" borderId="43" xfId="1" applyNumberFormat="1" applyFont="1" applyBorder="1" applyAlignment="1">
      <alignment horizontal="right"/>
    </xf>
    <xf numFmtId="164" fontId="0" fillId="0" borderId="43" xfId="1" applyNumberFormat="1" applyFont="1" applyBorder="1"/>
    <xf numFmtId="0" fontId="0" fillId="0" borderId="45" xfId="0" applyBorder="1"/>
    <xf numFmtId="0" fontId="0" fillId="0" borderId="46" xfId="0" applyBorder="1" applyAlignment="1">
      <alignment horizontal="right"/>
    </xf>
    <xf numFmtId="0" fontId="0" fillId="0" borderId="47" xfId="0" applyBorder="1"/>
    <xf numFmtId="0" fontId="1" fillId="0" borderId="48" xfId="0" applyFont="1" applyBorder="1" applyAlignment="1">
      <alignment horizontal="right"/>
    </xf>
    <xf numFmtId="0" fontId="0" fillId="0" borderId="46" xfId="0" applyBorder="1"/>
    <xf numFmtId="0" fontId="1" fillId="0" borderId="46" xfId="0" applyFont="1" applyBorder="1"/>
    <xf numFmtId="9" fontId="0" fillId="0" borderId="46" xfId="2" applyFont="1" applyBorder="1" applyAlignment="1">
      <alignment horizontal="right"/>
    </xf>
    <xf numFmtId="0" fontId="0" fillId="0" borderId="49" xfId="0" applyBorder="1"/>
    <xf numFmtId="0" fontId="0" fillId="0" borderId="50" xfId="0" applyBorder="1"/>
    <xf numFmtId="0" fontId="0" fillId="0" borderId="48" xfId="0" applyBorder="1" applyAlignment="1">
      <alignment horizontal="right"/>
    </xf>
    <xf numFmtId="164" fontId="0" fillId="0" borderId="46" xfId="0" applyNumberFormat="1" applyBorder="1" applyAlignment="1">
      <alignment horizontal="right"/>
    </xf>
    <xf numFmtId="164" fontId="0" fillId="0" borderId="50" xfId="0" applyNumberFormat="1" applyBorder="1"/>
    <xf numFmtId="0" fontId="1" fillId="0" borderId="51" xfId="0" applyFont="1" applyBorder="1" applyAlignment="1">
      <alignment horizontal="right"/>
    </xf>
    <xf numFmtId="0" fontId="0" fillId="0" borderId="1" xfId="0" applyBorder="1"/>
    <xf numFmtId="0" fontId="0" fillId="0" borderId="52" xfId="0" applyBorder="1"/>
    <xf numFmtId="0" fontId="7" fillId="0" borderId="0" xfId="0" applyFont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3" fontId="7" fillId="0" borderId="5" xfId="0" applyNumberFormat="1" applyFont="1" applyBorder="1"/>
    <xf numFmtId="3" fontId="7" fillId="0" borderId="0" xfId="0" applyNumberFormat="1" applyFont="1" applyBorder="1"/>
    <xf numFmtId="3" fontId="7" fillId="0" borderId="6" xfId="0" applyNumberFormat="1" applyFont="1" applyBorder="1"/>
    <xf numFmtId="0" fontId="7" fillId="0" borderId="3" xfId="0" applyFont="1" applyBorder="1"/>
    <xf numFmtId="0" fontId="7" fillId="0" borderId="2" xfId="0" applyFont="1" applyBorder="1"/>
    <xf numFmtId="0" fontId="7" fillId="0" borderId="4" xfId="0" applyFont="1" applyBorder="1"/>
    <xf numFmtId="3" fontId="7" fillId="0" borderId="3" xfId="0" applyNumberFormat="1" applyFont="1" applyBorder="1"/>
    <xf numFmtId="3" fontId="7" fillId="0" borderId="2" xfId="0" applyNumberFormat="1" applyFont="1" applyBorder="1"/>
    <xf numFmtId="3" fontId="7" fillId="0" borderId="4" xfId="0" applyNumberFormat="1" applyFont="1" applyBorder="1"/>
    <xf numFmtId="9" fontId="7" fillId="0" borderId="5" xfId="2" applyFont="1" applyBorder="1"/>
    <xf numFmtId="9" fontId="7" fillId="0" borderId="0" xfId="2" applyFont="1" applyBorder="1"/>
    <xf numFmtId="9" fontId="7" fillId="0" borderId="6" xfId="2" applyFont="1" applyBorder="1"/>
    <xf numFmtId="164" fontId="7" fillId="0" borderId="3" xfId="1" applyNumberFormat="1" applyFont="1" applyBorder="1"/>
    <xf numFmtId="164" fontId="7" fillId="0" borderId="2" xfId="1" applyNumberFormat="1" applyFont="1" applyBorder="1"/>
    <xf numFmtId="164" fontId="7" fillId="0" borderId="4" xfId="1" applyNumberFormat="1" applyFont="1" applyBorder="1"/>
    <xf numFmtId="164" fontId="7" fillId="0" borderId="5" xfId="1" applyNumberFormat="1" applyFont="1" applyBorder="1"/>
    <xf numFmtId="164" fontId="7" fillId="0" borderId="0" xfId="1" applyNumberFormat="1" applyFont="1" applyBorder="1"/>
    <xf numFmtId="164" fontId="7" fillId="0" borderId="6" xfId="1" applyNumberFormat="1" applyFont="1" applyBorder="1"/>
    <xf numFmtId="166" fontId="7" fillId="0" borderId="6" xfId="2" applyNumberFormat="1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3" fontId="7" fillId="0" borderId="42" xfId="0" applyNumberFormat="1" applyFont="1" applyBorder="1"/>
    <xf numFmtId="3" fontId="7" fillId="0" borderId="43" xfId="0" applyNumberFormat="1" applyFont="1" applyBorder="1"/>
    <xf numFmtId="3" fontId="7" fillId="0" borderId="44" xfId="0" applyNumberFormat="1" applyFont="1" applyBorder="1"/>
    <xf numFmtId="164" fontId="7" fillId="0" borderId="0" xfId="0" applyNumberFormat="1" applyFont="1" applyBorder="1"/>
    <xf numFmtId="0" fontId="7" fillId="0" borderId="1" xfId="0" applyFont="1" applyBorder="1"/>
    <xf numFmtId="164" fontId="0" fillId="0" borderId="53" xfId="1" applyNumberFormat="1" applyFont="1" applyBorder="1"/>
    <xf numFmtId="0" fontId="0" fillId="0" borderId="11" xfId="0" applyBorder="1" applyAlignment="1">
      <alignment horizontal="centerContinuous"/>
    </xf>
    <xf numFmtId="9" fontId="0" fillId="3" borderId="2" xfId="2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9" fontId="0" fillId="3" borderId="0" xfId="2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9" fontId="0" fillId="3" borderId="35" xfId="2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9" fontId="1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0" fillId="3" borderId="2" xfId="2" applyFont="1" applyFill="1" applyBorder="1" applyAlignment="1">
      <alignment horizontal="center"/>
    </xf>
    <xf numFmtId="9" fontId="0" fillId="3" borderId="54" xfId="2" applyFont="1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9" fontId="0" fillId="4" borderId="55" xfId="2" applyFont="1" applyFill="1" applyBorder="1" applyAlignment="1"/>
    <xf numFmtId="0" fontId="0" fillId="4" borderId="55" xfId="0" applyFill="1" applyBorder="1" applyAlignment="1"/>
    <xf numFmtId="0" fontId="0" fillId="5" borderId="11" xfId="0" applyFill="1" applyBorder="1"/>
    <xf numFmtId="0" fontId="0" fillId="5" borderId="12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9" xfId="0" applyFill="1" applyBorder="1"/>
    <xf numFmtId="9" fontId="0" fillId="0" borderId="11" xfId="2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left"/>
    </xf>
    <xf numFmtId="9" fontId="0" fillId="0" borderId="0" xfId="2" applyFont="1" applyBorder="1" applyAlignment="1">
      <alignment horizontal="left"/>
    </xf>
    <xf numFmtId="9" fontId="3" fillId="0" borderId="5" xfId="0" applyNumberFormat="1" applyFont="1" applyBorder="1"/>
    <xf numFmtId="3" fontId="3" fillId="0" borderId="0" xfId="0" applyNumberFormat="1" applyFont="1" applyBorder="1"/>
    <xf numFmtId="9" fontId="0" fillId="0" borderId="5" xfId="0" applyNumberFormat="1" applyBorder="1"/>
    <xf numFmtId="9" fontId="0" fillId="4" borderId="56" xfId="2" applyFont="1" applyFill="1" applyBorder="1" applyAlignment="1"/>
    <xf numFmtId="0" fontId="0" fillId="4" borderId="57" xfId="0" applyFill="1" applyBorder="1" applyAlignment="1"/>
    <xf numFmtId="9" fontId="0" fillId="3" borderId="3" xfId="2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9" fontId="0" fillId="3" borderId="5" xfId="2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9" fontId="0" fillId="3" borderId="34" xfId="2" applyFont="1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9" fontId="1" fillId="3" borderId="5" xfId="2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9" fontId="0" fillId="3" borderId="3" xfId="2" applyFont="1" applyFill="1" applyBorder="1" applyAlignment="1">
      <alignment horizontal="center"/>
    </xf>
    <xf numFmtId="9" fontId="0" fillId="3" borderId="58" xfId="2" applyFont="1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8" fillId="0" borderId="0" xfId="0" applyFont="1"/>
    <xf numFmtId="9" fontId="8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9" fontId="3" fillId="3" borderId="0" xfId="2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10" fontId="0" fillId="3" borderId="34" xfId="2" applyNumberFormat="1" applyFont="1" applyFill="1" applyBorder="1" applyAlignment="1">
      <alignment horizontal="center"/>
    </xf>
    <xf numFmtId="9" fontId="8" fillId="3" borderId="5" xfId="2" applyFont="1" applyFill="1" applyBorder="1" applyAlignment="1">
      <alignment horizontal="center"/>
    </xf>
    <xf numFmtId="9" fontId="8" fillId="3" borderId="0" xfId="2" applyFont="1" applyFill="1" applyBorder="1" applyAlignment="1">
      <alignment horizontal="center"/>
    </xf>
    <xf numFmtId="9" fontId="0" fillId="0" borderId="23" xfId="2" applyFont="1" applyBorder="1" applyAlignment="1">
      <alignment wrapText="1"/>
    </xf>
    <xf numFmtId="9" fontId="3" fillId="3" borderId="5" xfId="2" applyFont="1" applyFill="1" applyBorder="1" applyAlignment="1">
      <alignment horizontal="center"/>
    </xf>
    <xf numFmtId="164" fontId="10" fillId="0" borderId="6" xfId="1" applyNumberFormat="1" applyFont="1" applyBorder="1"/>
    <xf numFmtId="164" fontId="10" fillId="0" borderId="23" xfId="1" applyNumberFormat="1" applyFont="1" applyBorder="1" applyAlignment="1">
      <alignment horizontal="right"/>
    </xf>
    <xf numFmtId="164" fontId="2" fillId="2" borderId="5" xfId="1" applyNumberFormat="1" applyFont="1" applyFill="1" applyBorder="1"/>
    <xf numFmtId="164" fontId="2" fillId="2" borderId="0" xfId="1" applyNumberFormat="1" applyFont="1" applyFill="1" applyBorder="1"/>
    <xf numFmtId="164" fontId="2" fillId="2" borderId="6" xfId="1" applyNumberFormat="1" applyFont="1" applyFill="1" applyBorder="1"/>
    <xf numFmtId="170" fontId="2" fillId="2" borderId="5" xfId="0" applyNumberFormat="1" applyFont="1" applyFill="1" applyBorder="1"/>
    <xf numFmtId="170" fontId="2" fillId="2" borderId="0" xfId="0" applyNumberFormat="1" applyFont="1" applyFill="1" applyBorder="1"/>
    <xf numFmtId="170" fontId="2" fillId="2" borderId="6" xfId="0" applyNumberFormat="1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164" fontId="2" fillId="2" borderId="7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10" fontId="0" fillId="3" borderId="35" xfId="2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8" xfId="2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0" xfId="0" applyFont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/>
    <xf numFmtId="0" fontId="11" fillId="0" borderId="0" xfId="0" applyFont="1" applyBorder="1"/>
    <xf numFmtId="0" fontId="11" fillId="0" borderId="6" xfId="0" applyFont="1" applyBorder="1"/>
    <xf numFmtId="3" fontId="11" fillId="0" borderId="5" xfId="0" applyNumberFormat="1" applyFont="1" applyBorder="1"/>
    <xf numFmtId="3" fontId="11" fillId="0" borderId="0" xfId="0" applyNumberFormat="1" applyFont="1" applyBorder="1"/>
    <xf numFmtId="3" fontId="11" fillId="0" borderId="6" xfId="0" applyNumberFormat="1" applyFont="1" applyBorder="1"/>
    <xf numFmtId="0" fontId="11" fillId="0" borderId="3" xfId="0" applyFont="1" applyBorder="1"/>
    <xf numFmtId="0" fontId="11" fillId="0" borderId="2" xfId="0" applyFont="1" applyBorder="1"/>
    <xf numFmtId="0" fontId="11" fillId="0" borderId="4" xfId="0" applyFont="1" applyBorder="1"/>
    <xf numFmtId="3" fontId="11" fillId="0" borderId="3" xfId="0" applyNumberFormat="1" applyFont="1" applyBorder="1"/>
    <xf numFmtId="3" fontId="11" fillId="0" borderId="2" xfId="0" applyNumberFormat="1" applyFont="1" applyBorder="1"/>
    <xf numFmtId="3" fontId="11" fillId="0" borderId="4" xfId="0" applyNumberFormat="1" applyFont="1" applyBorder="1"/>
    <xf numFmtId="9" fontId="11" fillId="0" borderId="5" xfId="2" applyFont="1" applyBorder="1"/>
    <xf numFmtId="9" fontId="11" fillId="0" borderId="0" xfId="2" applyFont="1" applyBorder="1"/>
    <xf numFmtId="9" fontId="11" fillId="0" borderId="6" xfId="2" applyFont="1" applyBorder="1"/>
    <xf numFmtId="164" fontId="11" fillId="0" borderId="3" xfId="1" applyNumberFormat="1" applyFont="1" applyBorder="1"/>
    <xf numFmtId="164" fontId="11" fillId="0" borderId="2" xfId="1" applyNumberFormat="1" applyFont="1" applyBorder="1"/>
    <xf numFmtId="164" fontId="11" fillId="0" borderId="4" xfId="1" applyNumberFormat="1" applyFont="1" applyBorder="1"/>
    <xf numFmtId="164" fontId="11" fillId="0" borderId="5" xfId="1" applyNumberFormat="1" applyFont="1" applyBorder="1"/>
    <xf numFmtId="164" fontId="11" fillId="0" borderId="0" xfId="1" applyNumberFormat="1" applyFont="1" applyBorder="1"/>
    <xf numFmtId="164" fontId="11" fillId="0" borderId="6" xfId="1" applyNumberFormat="1" applyFont="1" applyBorder="1"/>
    <xf numFmtId="166" fontId="11" fillId="0" borderId="6" xfId="2" applyNumberFormat="1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3" fontId="11" fillId="0" borderId="42" xfId="0" applyNumberFormat="1" applyFont="1" applyBorder="1"/>
    <xf numFmtId="3" fontId="11" fillId="0" borderId="43" xfId="0" applyNumberFormat="1" applyFont="1" applyBorder="1"/>
    <xf numFmtId="3" fontId="11" fillId="0" borderId="44" xfId="0" applyNumberFormat="1" applyFont="1" applyBorder="1"/>
    <xf numFmtId="164" fontId="11" fillId="0" borderId="0" xfId="0" applyNumberFormat="1" applyFont="1" applyBorder="1"/>
    <xf numFmtId="0" fontId="11" fillId="0" borderId="1" xfId="0" applyFont="1" applyBorder="1"/>
    <xf numFmtId="0" fontId="0" fillId="0" borderId="17" xfId="0" applyBorder="1" applyAlignment="1">
      <alignment horizontal="center"/>
    </xf>
    <xf numFmtId="0" fontId="0" fillId="0" borderId="60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1" fillId="0" borderId="61" xfId="0" applyFont="1" applyBorder="1" applyAlignment="1">
      <alignment horizontal="center"/>
    </xf>
    <xf numFmtId="164" fontId="3" fillId="0" borderId="3" xfId="1" applyNumberFormat="1" applyFont="1" applyBorder="1"/>
    <xf numFmtId="164" fontId="3" fillId="0" borderId="2" xfId="1" applyNumberFormat="1" applyFont="1" applyBorder="1"/>
    <xf numFmtId="164" fontId="3" fillId="0" borderId="15" xfId="1" applyNumberFormat="1" applyFont="1" applyBorder="1"/>
    <xf numFmtId="0" fontId="0" fillId="5" borderId="0" xfId="0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9" fontId="8" fillId="3" borderId="34" xfId="2" applyFont="1" applyFill="1" applyBorder="1" applyAlignment="1">
      <alignment horizontal="center"/>
    </xf>
    <xf numFmtId="9" fontId="8" fillId="3" borderId="35" xfId="2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9" fontId="12" fillId="3" borderId="19" xfId="2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0" borderId="23" xfId="0" applyFont="1" applyBorder="1" applyAlignment="1">
      <alignment horizontal="right"/>
    </xf>
    <xf numFmtId="9" fontId="5" fillId="3" borderId="0" xfId="2" applyFont="1" applyFill="1" applyBorder="1" applyAlignment="1">
      <alignment horizontal="center"/>
    </xf>
    <xf numFmtId="164" fontId="5" fillId="0" borderId="0" xfId="1" applyNumberFormat="1" applyFont="1"/>
    <xf numFmtId="17" fontId="5" fillId="3" borderId="0" xfId="0" applyNumberFormat="1" applyFont="1" applyFill="1" applyBorder="1" applyAlignment="1">
      <alignment horizontal="center"/>
    </xf>
    <xf numFmtId="17" fontId="5" fillId="3" borderId="35" xfId="0" applyNumberFormat="1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/>
    <xf numFmtId="0" fontId="5" fillId="0" borderId="6" xfId="0" applyFont="1" applyBorder="1"/>
    <xf numFmtId="0" fontId="5" fillId="0" borderId="62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3" xfId="0" applyFont="1" applyBorder="1" applyAlignment="1">
      <alignment horizontal="center" wrapText="1"/>
    </xf>
    <xf numFmtId="0" fontId="0" fillId="0" borderId="17" xfId="0" applyBorder="1" applyAlignment="1">
      <alignment horizontal="centerContinuous"/>
    </xf>
    <xf numFmtId="0" fontId="13" fillId="0" borderId="28" xfId="0" applyFont="1" applyBorder="1" applyAlignment="1">
      <alignment horizontal="center"/>
    </xf>
    <xf numFmtId="9" fontId="5" fillId="3" borderId="3" xfId="2" applyFont="1" applyFill="1" applyBorder="1" applyAlignment="1">
      <alignment horizontal="center" wrapText="1"/>
    </xf>
    <xf numFmtId="9" fontId="5" fillId="3" borderId="2" xfId="2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14" fillId="0" borderId="37" xfId="0" applyFont="1" applyBorder="1" applyAlignment="1">
      <alignment horizontal="center"/>
    </xf>
    <xf numFmtId="9" fontId="15" fillId="0" borderId="0" xfId="2" applyFont="1" applyBorder="1"/>
    <xf numFmtId="9" fontId="15" fillId="0" borderId="6" xfId="2" applyFont="1" applyBorder="1"/>
    <xf numFmtId="3" fontId="15" fillId="0" borderId="0" xfId="0" applyNumberFormat="1" applyFont="1" applyBorder="1"/>
    <xf numFmtId="3" fontId="15" fillId="0" borderId="6" xfId="0" applyNumberFormat="1" applyFont="1" applyBorder="1"/>
    <xf numFmtId="3" fontId="15" fillId="0" borderId="2" xfId="0" applyNumberFormat="1" applyFont="1" applyBorder="1"/>
    <xf numFmtId="3" fontId="15" fillId="0" borderId="4" xfId="0" applyNumberFormat="1" applyFont="1" applyBorder="1"/>
    <xf numFmtId="0" fontId="16" fillId="0" borderId="2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3" fontId="14" fillId="2" borderId="8" xfId="0" applyNumberFormat="1" applyFont="1" applyFill="1" applyBorder="1" applyAlignment="1">
      <alignment horizontal="right"/>
    </xf>
    <xf numFmtId="164" fontId="5" fillId="2" borderId="7" xfId="1" applyNumberFormat="1" applyFont="1" applyFill="1" applyBorder="1"/>
    <xf numFmtId="164" fontId="5" fillId="2" borderId="8" xfId="1" applyNumberFormat="1" applyFont="1" applyFill="1" applyBorder="1"/>
    <xf numFmtId="164" fontId="5" fillId="2" borderId="9" xfId="1" applyNumberFormat="1" applyFont="1" applyFill="1" applyBorder="1"/>
    <xf numFmtId="164" fontId="5" fillId="2" borderId="8" xfId="1" applyNumberFormat="1" applyFont="1" applyFill="1" applyBorder="1" applyAlignment="1">
      <alignment horizontal="right"/>
    </xf>
    <xf numFmtId="164" fontId="5" fillId="2" borderId="16" xfId="1" applyNumberFormat="1" applyFont="1" applyFill="1" applyBorder="1"/>
    <xf numFmtId="0" fontId="5" fillId="2" borderId="0" xfId="0" applyFont="1" applyFill="1"/>
    <xf numFmtId="3" fontId="5" fillId="2" borderId="19" xfId="1" applyNumberFormat="1" applyFont="1" applyFill="1" applyBorder="1"/>
    <xf numFmtId="17" fontId="5" fillId="0" borderId="64" xfId="0" applyNumberFormat="1" applyFont="1" applyBorder="1" applyAlignment="1">
      <alignment horizontal="center"/>
    </xf>
    <xf numFmtId="164" fontId="0" fillId="0" borderId="22" xfId="0" applyNumberFormat="1" applyBorder="1"/>
    <xf numFmtId="164" fontId="0" fillId="0" borderId="6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44" xfId="1" applyNumberFormat="1" applyFont="1" applyBorder="1"/>
    <xf numFmtId="164" fontId="0" fillId="0" borderId="1" xfId="1" applyNumberFormat="1" applyFont="1" applyBorder="1"/>
    <xf numFmtId="164" fontId="0" fillId="0" borderId="5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42" xfId="1" applyNumberFormat="1" applyFont="1" applyBorder="1"/>
    <xf numFmtId="3" fontId="0" fillId="2" borderId="19" xfId="0" applyNumberFormat="1" applyFill="1" applyBorder="1"/>
    <xf numFmtId="0" fontId="8" fillId="3" borderId="0" xfId="0" applyFont="1" applyFill="1" applyBorder="1" applyAlignment="1">
      <alignment horizontal="center"/>
    </xf>
    <xf numFmtId="17" fontId="17" fillId="3" borderId="0" xfId="0" applyNumberFormat="1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externalLink" Target="externalLinks/externalLink1.xml"/><Relationship Id="rId18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walker/Documents/zArchive/CorpArchives/Business_Quality%20Plans/Final%20Team%20$%20Spreadsheets/Testing%20Workboo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walker/Documents/zArchive/CorpArchives/Business_Quality%20Plans/Final%20Team%20$%20Spreadsheets/Equipment%20Workbook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ing"/>
      <sheetName val="Test Core"/>
      <sheetName val="Denver"/>
      <sheetName val="Palatine"/>
      <sheetName val="Pittsburgh"/>
      <sheetName val="Houston"/>
    </sheetNames>
    <sheetDataSet>
      <sheetData sheetId="0">
        <row r="6">
          <cell r="B6">
            <v>2104284</v>
          </cell>
          <cell r="C6">
            <v>2187455</v>
          </cell>
          <cell r="E6">
            <v>1833261</v>
          </cell>
          <cell r="F6">
            <v>2233327.1929824562</v>
          </cell>
          <cell r="H6">
            <v>1907768</v>
          </cell>
          <cell r="I6">
            <v>2270422.1929824562</v>
          </cell>
          <cell r="K6">
            <v>2010401</v>
          </cell>
          <cell r="L6">
            <v>2271809.4210526315</v>
          </cell>
          <cell r="N6">
            <v>2079012</v>
          </cell>
          <cell r="O6">
            <v>2234790.1929824562</v>
          </cell>
          <cell r="U6">
            <v>403452</v>
          </cell>
          <cell r="V6">
            <v>833145.37</v>
          </cell>
          <cell r="W6">
            <v>706505</v>
          </cell>
          <cell r="X6">
            <v>584542.4800000001</v>
          </cell>
          <cell r="Y6">
            <v>593777.79</v>
          </cell>
          <cell r="Z6">
            <v>561079.07000000007</v>
          </cell>
          <cell r="AA6">
            <v>355939.73000000004</v>
          </cell>
          <cell r="AB6">
            <v>647996.71</v>
          </cell>
          <cell r="AC6">
            <v>393678.4</v>
          </cell>
          <cell r="AD6">
            <v>490506.99</v>
          </cell>
          <cell r="AE6">
            <v>614750.32000000007</v>
          </cell>
          <cell r="AF6">
            <v>620899.95000000007</v>
          </cell>
          <cell r="AG6">
            <v>647687.60000000009</v>
          </cell>
          <cell r="AH6">
            <v>563230.17000000004</v>
          </cell>
          <cell r="AI6">
            <v>706313.07000000007</v>
          </cell>
        </row>
        <row r="8">
          <cell r="B8">
            <v>1591701.93</v>
          </cell>
          <cell r="C8">
            <v>1634582</v>
          </cell>
          <cell r="E8">
            <v>1462885.586544557</v>
          </cell>
          <cell r="F8">
            <v>1688803.5622445126</v>
          </cell>
          <cell r="H8">
            <v>1550519.2637847969</v>
          </cell>
          <cell r="I8">
            <v>1692388.6922445125</v>
          </cell>
          <cell r="K8">
            <v>1580210.8253789439</v>
          </cell>
          <cell r="L8">
            <v>1688860.0695476918</v>
          </cell>
          <cell r="N8">
            <v>1642476.6074846541</v>
          </cell>
          <cell r="O8">
            <v>1704624.9422445125</v>
          </cell>
          <cell r="U8">
            <v>399647</v>
          </cell>
          <cell r="V8">
            <v>530884.66999999993</v>
          </cell>
          <cell r="W8">
            <v>492360</v>
          </cell>
          <cell r="X8">
            <v>430231.81999999995</v>
          </cell>
          <cell r="Y8">
            <v>455548.97999999992</v>
          </cell>
          <cell r="Z8">
            <v>457445.09000000008</v>
          </cell>
          <cell r="AA8">
            <v>460672.65</v>
          </cell>
          <cell r="AB8">
            <v>445971.61</v>
          </cell>
          <cell r="AC8">
            <v>417098.06999999995</v>
          </cell>
          <cell r="AD8">
            <v>400473.07999999996</v>
          </cell>
          <cell r="AE8">
            <v>518571.66000000003</v>
          </cell>
          <cell r="AF8">
            <v>540223.03</v>
          </cell>
          <cell r="AG8">
            <v>492826.14999999991</v>
          </cell>
          <cell r="AH8">
            <v>518110.56</v>
          </cell>
          <cell r="AI8">
            <v>588781.8899999999</v>
          </cell>
        </row>
        <row r="14">
          <cell r="B14">
            <v>0.63</v>
          </cell>
          <cell r="C14">
            <v>0.63</v>
          </cell>
          <cell r="D14">
            <v>0.63</v>
          </cell>
          <cell r="E14">
            <v>0.63</v>
          </cell>
          <cell r="F14">
            <v>0.63</v>
          </cell>
          <cell r="G14">
            <v>0.63</v>
          </cell>
          <cell r="H14">
            <v>0.63</v>
          </cell>
          <cell r="I14">
            <v>0.63</v>
          </cell>
          <cell r="J14">
            <v>0.63</v>
          </cell>
          <cell r="K14">
            <v>0.63</v>
          </cell>
          <cell r="L14">
            <v>0.63</v>
          </cell>
          <cell r="M14">
            <v>0.63</v>
          </cell>
          <cell r="N14">
            <v>0.63</v>
          </cell>
          <cell r="O14">
            <v>0.63</v>
          </cell>
          <cell r="P14">
            <v>0.63</v>
          </cell>
        </row>
        <row r="15">
          <cell r="B15">
            <v>131148</v>
          </cell>
          <cell r="C15">
            <v>131148</v>
          </cell>
          <cell r="D15">
            <v>139180</v>
          </cell>
          <cell r="E15">
            <v>131148</v>
          </cell>
          <cell r="F15">
            <v>131148</v>
          </cell>
          <cell r="G15">
            <v>0.63</v>
          </cell>
          <cell r="H15">
            <v>0.63</v>
          </cell>
          <cell r="I15">
            <v>0.63</v>
          </cell>
          <cell r="J15">
            <v>0.63</v>
          </cell>
          <cell r="K15">
            <v>0.63</v>
          </cell>
          <cell r="L15">
            <v>0.63</v>
          </cell>
          <cell r="M15">
            <v>0.63</v>
          </cell>
          <cell r="N15">
            <v>0.63</v>
          </cell>
          <cell r="O15">
            <v>0.63</v>
          </cell>
          <cell r="P15">
            <v>0.63</v>
          </cell>
          <cell r="U15">
            <v>-3383.04</v>
          </cell>
          <cell r="V15">
            <v>4.1721808331696939E+38</v>
          </cell>
          <cell r="W15">
            <v>0</v>
          </cell>
          <cell r="X15">
            <v>339642.27</v>
          </cell>
          <cell r="Y15">
            <v>1056441.01</v>
          </cell>
          <cell r="Z15">
            <v>8.7756912979524023E-304</v>
          </cell>
          <cell r="AA15">
            <v>1.1125369292536007E-308</v>
          </cell>
        </row>
        <row r="16">
          <cell r="B16">
            <v>0.63</v>
          </cell>
          <cell r="C16">
            <v>0.63</v>
          </cell>
          <cell r="D16">
            <v>0.63</v>
          </cell>
          <cell r="E16">
            <v>0.63</v>
          </cell>
          <cell r="F16">
            <v>0.63</v>
          </cell>
          <cell r="G16">
            <v>0.63</v>
          </cell>
          <cell r="H16">
            <v>0.63</v>
          </cell>
          <cell r="I16">
            <v>0.63</v>
          </cell>
          <cell r="J16">
            <v>0.63</v>
          </cell>
          <cell r="K16">
            <v>0.63</v>
          </cell>
          <cell r="L16">
            <v>0.63</v>
          </cell>
          <cell r="M16">
            <v>0.63</v>
          </cell>
          <cell r="N16">
            <v>0.63</v>
          </cell>
          <cell r="O16">
            <v>0.63</v>
          </cell>
          <cell r="P16">
            <v>0.63</v>
          </cell>
        </row>
        <row r="17">
          <cell r="B17">
            <v>54311</v>
          </cell>
          <cell r="C17">
            <v>54311</v>
          </cell>
          <cell r="D17">
            <v>42678</v>
          </cell>
          <cell r="E17">
            <v>54311</v>
          </cell>
          <cell r="F17">
            <v>54311</v>
          </cell>
          <cell r="G17">
            <v>0.63</v>
          </cell>
          <cell r="H17">
            <v>0.63</v>
          </cell>
          <cell r="I17">
            <v>0.63</v>
          </cell>
          <cell r="J17">
            <v>0.63</v>
          </cell>
          <cell r="K17">
            <v>0.63</v>
          </cell>
          <cell r="L17">
            <v>0.63</v>
          </cell>
          <cell r="M17">
            <v>0.63</v>
          </cell>
          <cell r="N17">
            <v>0.63</v>
          </cell>
          <cell r="O17">
            <v>0.63</v>
          </cell>
          <cell r="P17">
            <v>0.63</v>
          </cell>
          <cell r="U17">
            <v>-3383.04</v>
          </cell>
          <cell r="V17">
            <v>4.1721808331696939E+38</v>
          </cell>
          <cell r="W17">
            <v>0</v>
          </cell>
          <cell r="X17">
            <v>339642.27</v>
          </cell>
          <cell r="Y17">
            <v>1056441.01</v>
          </cell>
          <cell r="Z17">
            <v>8.7756912979524023E-304</v>
          </cell>
          <cell r="AA17">
            <v>1.1125369292536007E-308</v>
          </cell>
        </row>
        <row r="18">
          <cell r="B18">
            <v>0.63</v>
          </cell>
          <cell r="C18">
            <v>0.63</v>
          </cell>
          <cell r="D18">
            <v>0.63</v>
          </cell>
          <cell r="E18">
            <v>0.63</v>
          </cell>
          <cell r="F18">
            <v>0.63</v>
          </cell>
          <cell r="G18">
            <v>0.63</v>
          </cell>
          <cell r="H18">
            <v>0.63</v>
          </cell>
          <cell r="I18">
            <v>0.63</v>
          </cell>
          <cell r="J18">
            <v>0.63</v>
          </cell>
          <cell r="K18">
            <v>0.63</v>
          </cell>
          <cell r="L18">
            <v>0.63</v>
          </cell>
          <cell r="M18">
            <v>0.63</v>
          </cell>
          <cell r="N18">
            <v>0.63</v>
          </cell>
          <cell r="O18">
            <v>0.63</v>
          </cell>
          <cell r="P18">
            <v>0.63</v>
          </cell>
        </row>
        <row r="19">
          <cell r="B19">
            <v>37800</v>
          </cell>
          <cell r="C19">
            <v>37800</v>
          </cell>
          <cell r="D19">
            <v>55102</v>
          </cell>
          <cell r="E19">
            <v>37800</v>
          </cell>
          <cell r="F19">
            <v>37800</v>
          </cell>
          <cell r="G19">
            <v>1.3980674267706528E-154</v>
          </cell>
          <cell r="H19">
            <v>0.63</v>
          </cell>
          <cell r="I19">
            <v>0.63</v>
          </cell>
          <cell r="J19">
            <v>0.63</v>
          </cell>
          <cell r="K19">
            <v>0.63</v>
          </cell>
          <cell r="L19">
            <v>0.63</v>
          </cell>
          <cell r="M19">
            <v>0.63</v>
          </cell>
          <cell r="N19">
            <v>0.63</v>
          </cell>
          <cell r="O19">
            <v>0.63</v>
          </cell>
          <cell r="P19">
            <v>0.63</v>
          </cell>
          <cell r="U19">
            <v>-3383.04</v>
          </cell>
          <cell r="V19">
            <v>4.1721808331696939E+38</v>
          </cell>
          <cell r="W19">
            <v>0</v>
          </cell>
          <cell r="X19">
            <v>339642.27</v>
          </cell>
          <cell r="Y19">
            <v>1056441.01</v>
          </cell>
          <cell r="Z19">
            <v>8.7756912979524023E-304</v>
          </cell>
          <cell r="AA19">
            <v>1.1125369292536007E-308</v>
          </cell>
        </row>
        <row r="26">
          <cell r="B26">
            <v>115940.88060000005</v>
          </cell>
          <cell r="C26">
            <v>209696.10000000003</v>
          </cell>
          <cell r="D26">
            <v>164285.40600000013</v>
          </cell>
          <cell r="E26">
            <v>60676.700000000004</v>
          </cell>
          <cell r="F26">
            <v>190530.1119298246</v>
          </cell>
          <cell r="G26">
            <v>118276.02857599998</v>
          </cell>
          <cell r="H26">
            <v>112672.71730599999</v>
          </cell>
          <cell r="I26">
            <v>220799.9092358246</v>
          </cell>
          <cell r="J26">
            <v>-54277.81960799986</v>
          </cell>
          <cell r="K26">
            <v>149421.92000000001</v>
          </cell>
          <cell r="L26">
            <v>198357.34421052627</v>
          </cell>
          <cell r="M26">
            <v>43099.913331999865</v>
          </cell>
          <cell r="N26">
            <v>167002.77937</v>
          </cell>
          <cell r="O26">
            <v>147874.49129982456</v>
          </cell>
          <cell r="P26">
            <v>53734.084282000258</v>
          </cell>
        </row>
        <row r="32">
          <cell r="B32">
            <v>0.1</v>
          </cell>
          <cell r="D32">
            <v>18701</v>
          </cell>
        </row>
        <row r="34">
          <cell r="D34">
            <v>145584.40600000013</v>
          </cell>
        </row>
        <row r="36">
          <cell r="B36">
            <v>5</v>
          </cell>
        </row>
        <row r="37">
          <cell r="B37">
            <v>0</v>
          </cell>
          <cell r="I37">
            <v>1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5</v>
          </cell>
        </row>
        <row r="44">
          <cell r="B44">
            <v>0</v>
          </cell>
        </row>
        <row r="45">
          <cell r="B45">
            <v>0</v>
          </cell>
        </row>
      </sheetData>
      <sheetData sheetId="1"/>
      <sheetData sheetId="2">
        <row r="8">
          <cell r="AD8">
            <v>-1.6122392630098632E+265</v>
          </cell>
          <cell r="AE8">
            <v>-1.3359222170516773E-131</v>
          </cell>
        </row>
        <row r="10">
          <cell r="B10">
            <v>23500</v>
          </cell>
          <cell r="C10">
            <v>33750</v>
          </cell>
          <cell r="D10">
            <v>14623</v>
          </cell>
          <cell r="K10">
            <v>48106</v>
          </cell>
          <cell r="L10">
            <v>61281</v>
          </cell>
          <cell r="M10">
            <v>96200.919999999925</v>
          </cell>
          <cell r="N10">
            <v>3800</v>
          </cell>
          <cell r="O10">
            <v>13267</v>
          </cell>
          <cell r="P10">
            <v>-48983.659999999974</v>
          </cell>
        </row>
        <row r="22">
          <cell r="G22">
            <v>-14697.403652000001</v>
          </cell>
          <cell r="I22">
            <v>2096.0775129999975</v>
          </cell>
          <cell r="J22">
            <v>23811.023815999975</v>
          </cell>
        </row>
      </sheetData>
      <sheetData sheetId="3">
        <row r="8">
          <cell r="AD8">
            <v>-1.6122392630098632E+265</v>
          </cell>
          <cell r="AE8">
            <v>-1.3359222170516773E-131</v>
          </cell>
        </row>
        <row r="10">
          <cell r="B10">
            <v>517168</v>
          </cell>
          <cell r="C10">
            <v>529711</v>
          </cell>
          <cell r="D10">
            <v>468402.15000000014</v>
          </cell>
          <cell r="E10">
            <v>388101.41345544311</v>
          </cell>
          <cell r="F10">
            <v>414988.63073794369</v>
          </cell>
          <cell r="G10">
            <v>309650.01</v>
          </cell>
          <cell r="H10">
            <v>263280.73621520307</v>
          </cell>
          <cell r="I10">
            <v>412388.50073794357</v>
          </cell>
          <cell r="J10">
            <v>92093.710000000079</v>
          </cell>
          <cell r="K10">
            <v>374665.17462105607</v>
          </cell>
          <cell r="L10">
            <v>476021.35150493961</v>
          </cell>
          <cell r="M10">
            <v>171258.99</v>
          </cell>
          <cell r="N10">
            <v>378739.39251534594</v>
          </cell>
          <cell r="O10">
            <v>411551.25073794369</v>
          </cell>
          <cell r="P10">
            <v>117390.7100000002</v>
          </cell>
        </row>
      </sheetData>
      <sheetData sheetId="4">
        <row r="8">
          <cell r="AD8">
            <v>-1.6122392630098632E+265</v>
          </cell>
          <cell r="AE8">
            <v>-1.3359222170516773E-131</v>
          </cell>
        </row>
        <row r="10">
          <cell r="B10">
            <v>55159</v>
          </cell>
          <cell r="C10">
            <v>76644</v>
          </cell>
          <cell r="D10">
            <v>117063</v>
          </cell>
          <cell r="E10">
            <v>135422</v>
          </cell>
          <cell r="F10">
            <v>188564</v>
          </cell>
          <cell r="G10">
            <v>137224.91</v>
          </cell>
          <cell r="J10">
            <v>-13101.599999999977</v>
          </cell>
          <cell r="K10">
            <v>51287</v>
          </cell>
          <cell r="L10">
            <v>89668</v>
          </cell>
          <cell r="M10">
            <v>51380.109999999986</v>
          </cell>
          <cell r="N10">
            <v>101421</v>
          </cell>
          <cell r="O10">
            <v>148659</v>
          </cell>
          <cell r="P10">
            <v>305688.7300000001</v>
          </cell>
        </row>
        <row r="22">
          <cell r="G22">
            <v>100697.55006800001</v>
          </cell>
          <cell r="J22">
            <v>-44918.041943999975</v>
          </cell>
        </row>
      </sheetData>
      <sheetData sheetId="5">
        <row r="10">
          <cell r="C10">
            <v>2115</v>
          </cell>
          <cell r="D10">
            <v>34419.550000000003</v>
          </cell>
          <cell r="E10">
            <v>-50000</v>
          </cell>
          <cell r="F10">
            <v>38742</v>
          </cell>
          <cell r="G10">
            <v>-53069.710000000006</v>
          </cell>
          <cell r="K10">
            <v>38557</v>
          </cell>
          <cell r="L10">
            <v>38404</v>
          </cell>
          <cell r="M10">
            <v>-50262.829999999987</v>
          </cell>
          <cell r="N10">
            <v>35000</v>
          </cell>
          <cell r="O10">
            <v>39113</v>
          </cell>
          <cell r="P10">
            <v>-41168.61</v>
          </cell>
        </row>
        <row r="22">
          <cell r="G22">
            <v>-66527.158395999999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uipment"/>
      <sheetName val="70 Core"/>
      <sheetName val="71 Inst Rent"/>
      <sheetName val="72 France"/>
      <sheetName val="73 Express"/>
      <sheetName val="UK"/>
      <sheetName val="Equip Aux"/>
    </sheetNames>
    <sheetDataSet>
      <sheetData sheetId="0">
        <row r="6">
          <cell r="B6">
            <v>1729631</v>
          </cell>
          <cell r="C6">
            <v>1926631</v>
          </cell>
          <cell r="D6">
            <v>1666490.432</v>
          </cell>
          <cell r="E6">
            <v>1673631</v>
          </cell>
          <cell r="F6">
            <v>1839631</v>
          </cell>
          <cell r="G6">
            <v>1338641.8</v>
          </cell>
          <cell r="H6">
            <v>1871631</v>
          </cell>
          <cell r="I6">
            <v>2012631</v>
          </cell>
          <cell r="J6">
            <v>1326665.01</v>
          </cell>
          <cell r="K6">
            <v>1879631</v>
          </cell>
          <cell r="L6">
            <v>2033631</v>
          </cell>
          <cell r="M6">
            <v>1695595.3360000001</v>
          </cell>
          <cell r="N6">
            <v>1889631</v>
          </cell>
          <cell r="O6">
            <v>2125631</v>
          </cell>
          <cell r="P6">
            <v>1679295.92</v>
          </cell>
          <cell r="U6">
            <v>642704.68000000005</v>
          </cell>
          <cell r="V6">
            <v>527067.304</v>
          </cell>
          <cell r="W6">
            <v>496718.44799999997</v>
          </cell>
          <cell r="X6">
            <v>438532.4</v>
          </cell>
          <cell r="Y6">
            <v>451845.4</v>
          </cell>
          <cell r="Z6">
            <v>448264</v>
          </cell>
          <cell r="AA6">
            <v>479666.8</v>
          </cell>
          <cell r="AB6">
            <v>354624.01</v>
          </cell>
          <cell r="AC6">
            <v>492374.2</v>
          </cell>
          <cell r="AD6">
            <v>650463.93599999999</v>
          </cell>
          <cell r="AE6">
            <v>441974.75999999995</v>
          </cell>
          <cell r="AF6">
            <v>603156.64</v>
          </cell>
          <cell r="AG6">
            <v>614692.03</v>
          </cell>
          <cell r="AH6">
            <v>572211.93999999994</v>
          </cell>
          <cell r="AI6">
            <v>492392</v>
          </cell>
        </row>
        <row r="8">
          <cell r="B8">
            <v>1481000</v>
          </cell>
          <cell r="C8">
            <v>1523000</v>
          </cell>
          <cell r="D8">
            <v>1418443.6</v>
          </cell>
          <cell r="E8">
            <v>1425740</v>
          </cell>
          <cell r="F8">
            <v>1452280</v>
          </cell>
          <cell r="G8">
            <v>1180201.8</v>
          </cell>
          <cell r="H8">
            <v>1410940</v>
          </cell>
          <cell r="I8">
            <v>1457280</v>
          </cell>
          <cell r="J8">
            <v>1296561.5</v>
          </cell>
          <cell r="K8">
            <v>1386940</v>
          </cell>
          <cell r="L8">
            <v>1436280</v>
          </cell>
          <cell r="M8">
            <v>1381968.8940000001</v>
          </cell>
          <cell r="N8">
            <v>1386940</v>
          </cell>
          <cell r="O8">
            <v>1452280</v>
          </cell>
          <cell r="P8">
            <v>1155144.7500000002</v>
          </cell>
          <cell r="U8">
            <v>492002</v>
          </cell>
          <cell r="V8">
            <v>474072.6</v>
          </cell>
          <cell r="W8">
            <v>452369</v>
          </cell>
          <cell r="X8">
            <v>358282</v>
          </cell>
          <cell r="Y8">
            <v>411933.4</v>
          </cell>
          <cell r="Z8">
            <v>409986.4</v>
          </cell>
          <cell r="AA8">
            <v>431734</v>
          </cell>
          <cell r="AB8">
            <v>381916.94</v>
          </cell>
          <cell r="AC8">
            <v>482910.56</v>
          </cell>
          <cell r="AD8">
            <v>634941.97399999993</v>
          </cell>
          <cell r="AE8">
            <v>321119.26999999996</v>
          </cell>
          <cell r="AF8">
            <v>446153.16000000003</v>
          </cell>
          <cell r="AG8">
            <v>384073.46</v>
          </cell>
          <cell r="AH8">
            <v>401484.93</v>
          </cell>
          <cell r="AI8">
            <v>375342</v>
          </cell>
        </row>
        <row r="14">
          <cell r="B14">
            <v>0.34000000000000008</v>
          </cell>
        </row>
        <row r="15">
          <cell r="B15">
            <v>70796</v>
          </cell>
          <cell r="C15">
            <v>70796</v>
          </cell>
          <cell r="D15">
            <v>71006</v>
          </cell>
          <cell r="E15">
            <v>70796</v>
          </cell>
          <cell r="F15">
            <v>70796</v>
          </cell>
          <cell r="G15">
            <v>65197</v>
          </cell>
          <cell r="H15">
            <v>70796</v>
          </cell>
          <cell r="I15">
            <v>70796</v>
          </cell>
          <cell r="J15">
            <v>46989.630300000004</v>
          </cell>
          <cell r="K15">
            <v>70796</v>
          </cell>
          <cell r="L15">
            <v>70796</v>
          </cell>
          <cell r="N15">
            <v>70796</v>
          </cell>
          <cell r="O15">
            <v>70796</v>
          </cell>
          <cell r="U15">
            <v>41350.500000000007</v>
          </cell>
          <cell r="V15">
            <v>21306.300000000003</v>
          </cell>
          <cell r="W15">
            <v>4219.6740000000009</v>
          </cell>
          <cell r="X15">
            <v>21435.969000000001</v>
          </cell>
          <cell r="Y15">
            <v>18865.710000000003</v>
          </cell>
          <cell r="Z15">
            <v>17224.707000000002</v>
          </cell>
          <cell r="AA15">
            <v>12382.818299999999</v>
          </cell>
          <cell r="AB15">
            <v>11760.927</v>
          </cell>
          <cell r="AC15">
            <v>21362.174999999999</v>
          </cell>
          <cell r="AD15">
            <v>17040.915000000001</v>
          </cell>
          <cell r="AE15">
            <v>24963.288000000004</v>
          </cell>
          <cell r="AF15">
            <v>21040.923000000003</v>
          </cell>
          <cell r="AG15">
            <v>32016.638999999999</v>
          </cell>
          <cell r="AH15">
            <v>21813.414000000004</v>
          </cell>
          <cell r="AI15">
            <v>19943.373</v>
          </cell>
        </row>
        <row r="17">
          <cell r="B17">
            <v>29300</v>
          </cell>
          <cell r="C17">
            <v>29300</v>
          </cell>
          <cell r="D17">
            <v>29386</v>
          </cell>
          <cell r="E17">
            <v>29300</v>
          </cell>
          <cell r="F17">
            <v>29300</v>
          </cell>
          <cell r="G17">
            <v>22331</v>
          </cell>
          <cell r="H17">
            <v>29300</v>
          </cell>
          <cell r="I17">
            <v>29300</v>
          </cell>
          <cell r="J17">
            <v>22069.366000000002</v>
          </cell>
          <cell r="K17">
            <v>29300</v>
          </cell>
          <cell r="L17">
            <v>29300</v>
          </cell>
          <cell r="N17">
            <v>29300</v>
          </cell>
          <cell r="O17">
            <v>29300</v>
          </cell>
          <cell r="U17">
            <v>7582.23</v>
          </cell>
          <cell r="V17">
            <v>7457.0250000000005</v>
          </cell>
          <cell r="W17">
            <v>5284.179000000001</v>
          </cell>
          <cell r="X17">
            <v>7262.6880000000001</v>
          </cell>
          <cell r="Y17">
            <v>5975.1</v>
          </cell>
          <cell r="Z17">
            <v>6465.9000000000005</v>
          </cell>
          <cell r="AA17">
            <v>6972.9000000000005</v>
          </cell>
          <cell r="AB17">
            <v>7138.4759999999997</v>
          </cell>
          <cell r="AC17">
            <v>7504.2000000000007</v>
          </cell>
          <cell r="AD17">
            <v>7384.1009999999997</v>
          </cell>
          <cell r="AE17">
            <v>7890.6</v>
          </cell>
          <cell r="AF17">
            <v>7478.7390000000014</v>
          </cell>
          <cell r="AG17">
            <v>8072.8380000000006</v>
          </cell>
          <cell r="AH17">
            <v>8485.527</v>
          </cell>
          <cell r="AI17">
            <v>4446.1320000000005</v>
          </cell>
        </row>
        <row r="19">
          <cell r="B19">
            <v>20400</v>
          </cell>
          <cell r="C19">
            <v>20400</v>
          </cell>
          <cell r="D19">
            <v>20460</v>
          </cell>
          <cell r="E19">
            <v>20400</v>
          </cell>
          <cell r="F19">
            <v>20400</v>
          </cell>
          <cell r="G19">
            <v>16635</v>
          </cell>
          <cell r="H19">
            <v>20400</v>
          </cell>
          <cell r="I19">
            <v>20400</v>
          </cell>
          <cell r="J19" t="e">
            <v>#REF!</v>
          </cell>
          <cell r="K19">
            <v>20400</v>
          </cell>
          <cell r="L19">
            <v>20400</v>
          </cell>
          <cell r="M19" t="e">
            <v>#REF!</v>
          </cell>
          <cell r="N19">
            <v>20400</v>
          </cell>
          <cell r="O19">
            <v>20400</v>
          </cell>
          <cell r="U19">
            <v>9882.384</v>
          </cell>
          <cell r="V19">
            <v>9137.6219999999994</v>
          </cell>
          <cell r="W19">
            <v>7216.4400000000005</v>
          </cell>
          <cell r="X19">
            <v>4552.9709999999995</v>
          </cell>
          <cell r="Y19">
            <v>8320.9140000000007</v>
          </cell>
          <cell r="Z19">
            <v>1443.309</v>
          </cell>
          <cell r="AA19">
            <v>5468.9078</v>
          </cell>
          <cell r="AB19">
            <v>4871.9070000000002</v>
          </cell>
          <cell r="AC19">
            <v>3272.6100000000006</v>
          </cell>
          <cell r="AD19">
            <v>1693.6020000000003</v>
          </cell>
          <cell r="AE19">
            <v>2248.1489999999999</v>
          </cell>
          <cell r="AF19">
            <v>1964.1090000000002</v>
          </cell>
          <cell r="AG19">
            <v>4775.0280000000002</v>
          </cell>
          <cell r="AH19">
            <v>2879.1</v>
          </cell>
          <cell r="AI19">
            <v>4647.6000000000004</v>
          </cell>
        </row>
        <row r="22">
          <cell r="B22">
            <v>128135</v>
          </cell>
          <cell r="C22">
            <v>283135</v>
          </cell>
          <cell r="D22">
            <v>127194.83199999994</v>
          </cell>
          <cell r="E22">
            <v>127395</v>
          </cell>
          <cell r="F22">
            <v>266855</v>
          </cell>
          <cell r="G22">
            <v>54277</v>
          </cell>
        </row>
      </sheetData>
      <sheetData sheetId="1">
        <row r="8">
          <cell r="AF8">
            <v>118</v>
          </cell>
          <cell r="AG8">
            <v>2.6155107020124842E-265</v>
          </cell>
        </row>
      </sheetData>
      <sheetData sheetId="2">
        <row r="8">
          <cell r="AF8">
            <v>118</v>
          </cell>
          <cell r="AG8">
            <v>2.6155107020124842E-265</v>
          </cell>
        </row>
        <row r="22">
          <cell r="B22">
            <v>153300</v>
          </cell>
          <cell r="C22">
            <v>241300</v>
          </cell>
          <cell r="D22">
            <v>282434</v>
          </cell>
          <cell r="E22">
            <v>118300</v>
          </cell>
          <cell r="F22">
            <v>193300</v>
          </cell>
          <cell r="G22">
            <v>116962</v>
          </cell>
          <cell r="H22">
            <v>301300</v>
          </cell>
          <cell r="I22">
            <v>346300</v>
          </cell>
          <cell r="J22">
            <v>130421.32450000006</v>
          </cell>
          <cell r="K22">
            <v>325300</v>
          </cell>
          <cell r="L22">
            <v>370300</v>
          </cell>
          <cell r="M22">
            <v>358845.45660000003</v>
          </cell>
          <cell r="N22">
            <v>330300</v>
          </cell>
          <cell r="O22">
            <v>420300</v>
          </cell>
          <cell r="P22">
            <v>292647.92409999983</v>
          </cell>
        </row>
        <row r="36">
          <cell r="B36">
            <v>1</v>
          </cell>
        </row>
        <row r="39">
          <cell r="B39">
            <v>1</v>
          </cell>
        </row>
        <row r="40">
          <cell r="B40">
            <v>1</v>
          </cell>
        </row>
        <row r="42">
          <cell r="B42">
            <v>1</v>
          </cell>
        </row>
        <row r="44">
          <cell r="B44">
            <v>1</v>
          </cell>
        </row>
      </sheetData>
      <sheetData sheetId="3">
        <row r="8">
          <cell r="AF8">
            <v>118</v>
          </cell>
          <cell r="AG8">
            <v>2.6155107020124842E-265</v>
          </cell>
        </row>
        <row r="10">
          <cell r="H10">
            <v>41943.67</v>
          </cell>
          <cell r="I10">
            <v>87654.71</v>
          </cell>
          <cell r="J10">
            <v>1.9634074667160199E-295</v>
          </cell>
          <cell r="L10">
            <v>2.2577915214921343E-108</v>
          </cell>
          <cell r="M10">
            <v>-2682224.6400000001</v>
          </cell>
          <cell r="O10">
            <v>1.4968184838209821E-305</v>
          </cell>
          <cell r="P10">
            <v>4.581180912980502E-246</v>
          </cell>
        </row>
      </sheetData>
      <sheetData sheetId="4">
        <row r="8">
          <cell r="AF8">
            <v>118</v>
          </cell>
          <cell r="AG8">
            <v>2.6155107020124842E-265</v>
          </cell>
        </row>
        <row r="22">
          <cell r="B22">
            <v>4369</v>
          </cell>
          <cell r="C22">
            <v>24369</v>
          </cell>
          <cell r="D22">
            <v>1.6819966579975868E+197</v>
          </cell>
          <cell r="E22">
            <v>4842528.91</v>
          </cell>
          <cell r="F22">
            <v>467245392</v>
          </cell>
          <cell r="G22">
            <v>2.147337513499296E-307</v>
          </cell>
          <cell r="H22">
            <v>41943.67</v>
          </cell>
          <cell r="I22">
            <v>87654.71</v>
          </cell>
          <cell r="J22">
            <v>1.9634074667160199E-295</v>
          </cell>
          <cell r="K22">
            <v>0</v>
          </cell>
          <cell r="L22">
            <v>2.2577915214921343E-108</v>
          </cell>
          <cell r="M22">
            <v>-2682224.6400000001</v>
          </cell>
          <cell r="N22">
            <v>4194070</v>
          </cell>
          <cell r="O22">
            <v>1.4968184838209821E-305</v>
          </cell>
          <cell r="P22">
            <v>4.581180912980502E-246</v>
          </cell>
        </row>
      </sheetData>
      <sheetData sheetId="5">
        <row r="8">
          <cell r="AZ8">
            <v>2.6155107020124842E-265</v>
          </cell>
          <cell r="BA8">
            <v>13474</v>
          </cell>
        </row>
        <row r="10">
          <cell r="AN10">
            <v>1681.0500000000029</v>
          </cell>
          <cell r="AO10">
            <v>-21700.809999999998</v>
          </cell>
          <cell r="AP10">
            <v>-15209.720000000001</v>
          </cell>
          <cell r="AQ10">
            <v>-3191</v>
          </cell>
          <cell r="AR10">
            <v>-6495</v>
          </cell>
          <cell r="AS10">
            <v>-14829</v>
          </cell>
          <cell r="AT10">
            <v>-11272</v>
          </cell>
          <cell r="AU10">
            <v>-15570</v>
          </cell>
          <cell r="AV10">
            <v>-42810</v>
          </cell>
          <cell r="AW10">
            <v>-86295.63</v>
          </cell>
          <cell r="AX10">
            <v>-5303</v>
          </cell>
          <cell r="AY10">
            <v>-909</v>
          </cell>
          <cell r="AZ10">
            <v>14272</v>
          </cell>
          <cell r="BA10">
            <v>0</v>
          </cell>
          <cell r="BB10">
            <v>0</v>
          </cell>
        </row>
      </sheetData>
      <sheetData sheetId="6">
        <row r="6">
          <cell r="B6">
            <v>1729631</v>
          </cell>
          <cell r="C6">
            <v>1926631</v>
          </cell>
          <cell r="D6">
            <v>1666490.432</v>
          </cell>
          <cell r="E6">
            <v>1673631</v>
          </cell>
          <cell r="F6">
            <v>1839631</v>
          </cell>
          <cell r="G6">
            <v>1338641.8</v>
          </cell>
          <cell r="H6">
            <v>1871631</v>
          </cell>
          <cell r="I6">
            <v>2012631</v>
          </cell>
          <cell r="J6">
            <v>1326665.01</v>
          </cell>
          <cell r="K6">
            <v>1879631</v>
          </cell>
          <cell r="L6">
            <v>2033631</v>
          </cell>
          <cell r="M6">
            <v>1695595.3360000001</v>
          </cell>
          <cell r="N6">
            <v>1889631</v>
          </cell>
          <cell r="O6">
            <v>2125631</v>
          </cell>
          <cell r="P6">
            <v>1679295.92</v>
          </cell>
          <cell r="U6">
            <v>642704.68000000005</v>
          </cell>
          <cell r="V6">
            <v>527067.304</v>
          </cell>
          <cell r="W6">
            <v>496718.44799999997</v>
          </cell>
          <cell r="X6">
            <v>438532.4</v>
          </cell>
          <cell r="Y6">
            <v>451845.4</v>
          </cell>
          <cell r="Z6">
            <v>448264</v>
          </cell>
          <cell r="AA6">
            <v>479666.8</v>
          </cell>
          <cell r="AB6">
            <v>354624.01</v>
          </cell>
          <cell r="AC6">
            <v>492374.2</v>
          </cell>
          <cell r="AD6">
            <v>650463.93599999999</v>
          </cell>
          <cell r="AE6">
            <v>441974.75999999995</v>
          </cell>
          <cell r="AF6">
            <v>603156.64</v>
          </cell>
          <cell r="AG6">
            <v>614692.03</v>
          </cell>
          <cell r="AH6">
            <v>572211.93999999994</v>
          </cell>
          <cell r="AI6">
            <v>492392</v>
          </cell>
        </row>
        <row r="8">
          <cell r="B8">
            <v>1481000</v>
          </cell>
          <cell r="C8">
            <v>1523000</v>
          </cell>
          <cell r="D8">
            <v>1418443.6</v>
          </cell>
          <cell r="E8">
            <v>1425740</v>
          </cell>
          <cell r="F8">
            <v>1452280</v>
          </cell>
          <cell r="G8">
            <v>1180201.8</v>
          </cell>
          <cell r="H8">
            <v>1410940</v>
          </cell>
          <cell r="I8">
            <v>1457280</v>
          </cell>
          <cell r="J8">
            <v>1296561.5</v>
          </cell>
          <cell r="K8">
            <v>1386940</v>
          </cell>
          <cell r="L8">
            <v>1436280</v>
          </cell>
          <cell r="M8">
            <v>1381968.8940000001</v>
          </cell>
          <cell r="N8">
            <v>1386940</v>
          </cell>
          <cell r="O8">
            <v>1452280</v>
          </cell>
          <cell r="P8">
            <v>1155144.7500000002</v>
          </cell>
          <cell r="U8">
            <v>492002</v>
          </cell>
          <cell r="V8">
            <v>474072.6</v>
          </cell>
          <cell r="W8">
            <v>452369</v>
          </cell>
          <cell r="X8">
            <v>358282</v>
          </cell>
          <cell r="Y8">
            <v>411933.4</v>
          </cell>
          <cell r="Z8">
            <v>409986.4</v>
          </cell>
          <cell r="AA8">
            <v>431734</v>
          </cell>
          <cell r="AB8">
            <v>381916.94</v>
          </cell>
          <cell r="AC8">
            <v>482910.56</v>
          </cell>
          <cell r="AD8">
            <v>634941.97399999993</v>
          </cell>
          <cell r="AE8">
            <v>321119.26999999996</v>
          </cell>
          <cell r="AF8">
            <v>446153.16000000003</v>
          </cell>
          <cell r="AG8">
            <v>384073.46</v>
          </cell>
          <cell r="AH8">
            <v>401484.93</v>
          </cell>
          <cell r="AI8">
            <v>375342</v>
          </cell>
        </row>
        <row r="14">
          <cell r="B14">
            <v>0.34000000000000008</v>
          </cell>
        </row>
        <row r="15">
          <cell r="B15">
            <v>70796</v>
          </cell>
          <cell r="C15">
            <v>70796</v>
          </cell>
          <cell r="D15">
            <v>71006</v>
          </cell>
          <cell r="E15">
            <v>70796</v>
          </cell>
          <cell r="F15">
            <v>70796</v>
          </cell>
          <cell r="G15">
            <v>65197</v>
          </cell>
          <cell r="H15">
            <v>70796</v>
          </cell>
          <cell r="I15">
            <v>70796</v>
          </cell>
          <cell r="J15">
            <v>46989.630300000004</v>
          </cell>
          <cell r="K15">
            <v>70796</v>
          </cell>
          <cell r="L15">
            <v>70796</v>
          </cell>
          <cell r="M15">
            <v>65146.626000000011</v>
          </cell>
          <cell r="N15">
            <v>70796</v>
          </cell>
          <cell r="O15">
            <v>70796</v>
          </cell>
          <cell r="P15">
            <v>76232.536000000007</v>
          </cell>
          <cell r="U15">
            <v>41350.500000000007</v>
          </cell>
          <cell r="V15">
            <v>21306.300000000003</v>
          </cell>
          <cell r="W15">
            <v>4219.6740000000009</v>
          </cell>
          <cell r="X15">
            <v>21435.969000000001</v>
          </cell>
          <cell r="Y15">
            <v>18865.710000000003</v>
          </cell>
          <cell r="Z15">
            <v>17224.707000000002</v>
          </cell>
          <cell r="AA15">
            <v>12382.818299999999</v>
          </cell>
          <cell r="AB15">
            <v>11760.927</v>
          </cell>
          <cell r="AC15">
            <v>21362.174999999999</v>
          </cell>
          <cell r="AD15">
            <v>17040.915000000001</v>
          </cell>
          <cell r="AE15">
            <v>24963.288000000004</v>
          </cell>
          <cell r="AF15">
            <v>21040.923000000003</v>
          </cell>
          <cell r="AG15">
            <v>32016.638999999999</v>
          </cell>
          <cell r="AH15">
            <v>21813.414000000004</v>
          </cell>
          <cell r="AI15">
            <v>19943.373</v>
          </cell>
        </row>
        <row r="17">
          <cell r="B17">
            <v>29300</v>
          </cell>
          <cell r="C17">
            <v>29300</v>
          </cell>
          <cell r="D17">
            <v>29386</v>
          </cell>
          <cell r="E17">
            <v>29300</v>
          </cell>
          <cell r="F17">
            <v>29300</v>
          </cell>
          <cell r="G17">
            <v>22331</v>
          </cell>
          <cell r="H17">
            <v>29300</v>
          </cell>
          <cell r="I17">
            <v>29300</v>
          </cell>
          <cell r="J17">
            <v>22069.366000000002</v>
          </cell>
          <cell r="K17">
            <v>29300</v>
          </cell>
          <cell r="L17">
            <v>29300</v>
          </cell>
          <cell r="M17">
            <v>22950.300000000003</v>
          </cell>
          <cell r="N17">
            <v>29300</v>
          </cell>
          <cell r="O17">
            <v>29300</v>
          </cell>
          <cell r="P17">
            <v>21704.647000000004</v>
          </cell>
          <cell r="U17">
            <v>7582.23</v>
          </cell>
          <cell r="V17">
            <v>7457.0250000000005</v>
          </cell>
          <cell r="W17">
            <v>5284.179000000001</v>
          </cell>
          <cell r="X17">
            <v>7262.6880000000001</v>
          </cell>
          <cell r="Y17">
            <v>5975.1</v>
          </cell>
          <cell r="Z17">
            <v>6465.9000000000005</v>
          </cell>
          <cell r="AA17">
            <v>6972.9000000000005</v>
          </cell>
          <cell r="AB17">
            <v>7138.4759999999997</v>
          </cell>
          <cell r="AC17">
            <v>7504.2000000000007</v>
          </cell>
          <cell r="AD17">
            <v>7384.1009999999997</v>
          </cell>
          <cell r="AE17">
            <v>7890.6</v>
          </cell>
          <cell r="AF17">
            <v>7478.7390000000014</v>
          </cell>
          <cell r="AG17">
            <v>8072.8380000000006</v>
          </cell>
          <cell r="AH17">
            <v>8485.527</v>
          </cell>
          <cell r="AI17">
            <v>4446.1320000000005</v>
          </cell>
        </row>
        <row r="19">
          <cell r="B19">
            <v>20400</v>
          </cell>
          <cell r="C19">
            <v>20400</v>
          </cell>
          <cell r="D19">
            <v>20460</v>
          </cell>
          <cell r="E19">
            <v>20400</v>
          </cell>
          <cell r="F19">
            <v>20400</v>
          </cell>
          <cell r="G19">
            <v>16635</v>
          </cell>
          <cell r="H19">
            <v>20400</v>
          </cell>
          <cell r="I19">
            <v>20400</v>
          </cell>
          <cell r="J19">
            <v>14067.214800000002</v>
          </cell>
          <cell r="K19">
            <v>20400</v>
          </cell>
          <cell r="L19">
            <v>20400</v>
          </cell>
          <cell r="M19">
            <v>6102.72</v>
          </cell>
          <cell r="N19">
            <v>20400</v>
          </cell>
          <cell r="O19">
            <v>20400</v>
          </cell>
          <cell r="P19">
            <v>12711.787999999999</v>
          </cell>
          <cell r="U19">
            <v>9882.384</v>
          </cell>
          <cell r="V19">
            <v>9137.6219999999994</v>
          </cell>
          <cell r="W19">
            <v>7216.4400000000005</v>
          </cell>
          <cell r="X19">
            <v>4552.9709999999995</v>
          </cell>
          <cell r="Y19">
            <v>8320.9140000000007</v>
          </cell>
          <cell r="Z19">
            <v>1443.309</v>
          </cell>
          <cell r="AA19">
            <v>5468.9078</v>
          </cell>
          <cell r="AB19">
            <v>4871.9070000000002</v>
          </cell>
          <cell r="AC19">
            <v>3272.6100000000006</v>
          </cell>
          <cell r="AD19">
            <v>1693.6020000000003</v>
          </cell>
          <cell r="AE19">
            <v>2248.1489999999999</v>
          </cell>
          <cell r="AF19">
            <v>1964.1090000000002</v>
          </cell>
          <cell r="AG19">
            <v>4775.0280000000002</v>
          </cell>
          <cell r="AH19">
            <v>2879.1</v>
          </cell>
          <cell r="AI19">
            <v>4647.6000000000004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3</v>
          </cell>
        </row>
        <row r="39">
          <cell r="B39">
            <v>2</v>
          </cell>
        </row>
        <row r="40">
          <cell r="B40">
            <v>4</v>
          </cell>
        </row>
        <row r="41">
          <cell r="B41">
            <v>1</v>
          </cell>
        </row>
        <row r="42">
          <cell r="B42">
            <v>1</v>
          </cell>
        </row>
        <row r="43">
          <cell r="B43">
            <v>0</v>
          </cell>
        </row>
        <row r="44">
          <cell r="B44">
            <v>1</v>
          </cell>
        </row>
        <row r="45">
          <cell r="B4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X50"/>
  <sheetViews>
    <sheetView showGridLines="0" showZeros="0" workbookViewId="0">
      <pane xSplit="2" ySplit="3" topLeftCell="C4" activePane="bottomRight" state="frozenSplit"/>
      <selection pane="topRight" activeCell="B1" sqref="B1"/>
      <selection pane="bottomLeft" activeCell="A4" sqref="A4"/>
      <selection pane="bottomRight" activeCell="N32" sqref="N32"/>
    </sheetView>
  </sheetViews>
  <sheetFormatPr baseColWidth="10" defaultRowHeight="13" x14ac:dyDescent="0"/>
  <cols>
    <col min="1" max="2" width="6.5703125" style="9" customWidth="1"/>
    <col min="3" max="5" width="4.7109375" customWidth="1"/>
    <col min="6" max="6" width="21.85546875" style="175" customWidth="1"/>
    <col min="7" max="7" width="6.7109375" style="176" customWidth="1"/>
    <col min="8" max="8" width="7.5703125" style="176" customWidth="1"/>
    <col min="9" max="10" width="5.5703125" style="176" customWidth="1"/>
    <col min="11" max="11" width="7.85546875" style="175" customWidth="1"/>
    <col min="12" max="12" width="6.85546875" style="175" customWidth="1"/>
    <col min="13" max="13" width="6.140625" style="175" customWidth="1"/>
    <col min="14" max="14" width="8.140625" style="175" customWidth="1"/>
    <col min="15" max="15" width="8.7109375" style="175" customWidth="1"/>
    <col min="16" max="20" width="7.5703125" style="176" customWidth="1"/>
    <col min="21" max="21" width="5" style="176" customWidth="1"/>
    <col min="22" max="22" width="5.5703125" style="176" customWidth="1"/>
    <col min="23" max="23" width="7.85546875" style="175" customWidth="1"/>
    <col min="24" max="24" width="6.85546875" style="175" customWidth="1"/>
    <col min="25" max="25" width="6.140625" style="175" customWidth="1"/>
    <col min="26" max="26" width="8.140625" style="175" customWidth="1"/>
    <col min="27" max="27" width="8.7109375" style="175" customWidth="1"/>
    <col min="28" max="28" width="11.7109375" style="176" customWidth="1"/>
    <col min="29" max="29" width="10.7109375" style="176"/>
    <col min="30" max="30" width="5.5703125" style="176" customWidth="1"/>
    <col min="31" max="31" width="5.85546875" style="176" customWidth="1"/>
    <col min="32" max="33" width="7.85546875" style="175" customWidth="1"/>
    <col min="34" max="34" width="8.7109375" style="175" customWidth="1"/>
    <col min="35" max="35" width="9" style="176" customWidth="1"/>
    <col min="36" max="36" width="1" style="176" customWidth="1"/>
    <col min="37" max="37" width="10.7109375" style="176"/>
    <col min="38" max="38" width="5" style="176" customWidth="1"/>
    <col min="39" max="39" width="5.85546875" style="176" customWidth="1"/>
    <col min="40" max="42" width="7.85546875" style="175" customWidth="1"/>
    <col min="43" max="43" width="8.7109375" style="175" customWidth="1"/>
  </cols>
  <sheetData>
    <row r="1" spans="1:50" ht="14" thickBot="1">
      <c r="G1" s="363"/>
      <c r="H1" s="363"/>
      <c r="I1" s="364"/>
      <c r="J1" s="364"/>
      <c r="K1" s="365"/>
      <c r="L1" s="365"/>
      <c r="M1" s="365"/>
      <c r="N1" s="365"/>
      <c r="O1" s="365"/>
      <c r="P1" s="363"/>
      <c r="Q1" s="363"/>
      <c r="R1" s="363"/>
      <c r="S1" s="363"/>
      <c r="T1" s="363"/>
      <c r="U1" s="364"/>
      <c r="V1" s="364"/>
      <c r="W1" s="365"/>
      <c r="X1" s="365"/>
      <c r="Y1" s="365"/>
      <c r="Z1" s="365"/>
      <c r="AA1" s="365"/>
      <c r="AB1" s="363"/>
      <c r="AC1" s="363"/>
      <c r="AD1" s="364"/>
      <c r="AE1" s="364"/>
      <c r="AF1" s="365"/>
      <c r="AG1" s="365"/>
      <c r="AH1" s="365"/>
      <c r="AI1" s="363"/>
      <c r="AJ1" s="363"/>
      <c r="AK1" s="363"/>
      <c r="AL1" s="364"/>
      <c r="AM1" s="364"/>
      <c r="AN1" s="365"/>
      <c r="AO1" s="365"/>
      <c r="AP1" s="365"/>
      <c r="AQ1" s="365"/>
      <c r="AX1" t="s">
        <v>0</v>
      </c>
    </row>
    <row r="2" spans="1:50">
      <c r="A2" s="320"/>
      <c r="B2" s="320"/>
      <c r="C2" s="320"/>
      <c r="D2" s="320"/>
      <c r="E2" s="320"/>
      <c r="F2" s="474"/>
      <c r="G2" s="333"/>
      <c r="H2" s="333" t="s">
        <v>1</v>
      </c>
      <c r="I2" s="333"/>
      <c r="J2" s="333"/>
      <c r="K2" s="333"/>
      <c r="L2" s="334"/>
      <c r="M2" s="334"/>
      <c r="N2" s="334"/>
      <c r="O2" s="334"/>
      <c r="P2" s="333"/>
      <c r="Q2" s="333" t="s">
        <v>2</v>
      </c>
      <c r="R2" s="333"/>
      <c r="S2" s="333"/>
      <c r="T2" s="333"/>
      <c r="U2" s="333"/>
      <c r="V2" s="333"/>
      <c r="W2" s="333"/>
      <c r="X2" s="334"/>
      <c r="Y2" s="334"/>
      <c r="Z2" s="334"/>
      <c r="AA2" s="334"/>
      <c r="AB2" s="434"/>
      <c r="AC2" s="333"/>
      <c r="AD2" s="333" t="s">
        <v>3</v>
      </c>
      <c r="AE2" s="333"/>
      <c r="AF2" s="333"/>
      <c r="AG2" s="334"/>
      <c r="AH2" s="334"/>
      <c r="AI2" s="350"/>
      <c r="AJ2" s="349"/>
      <c r="AK2" s="333"/>
      <c r="AL2" s="333" t="s">
        <v>4</v>
      </c>
      <c r="AM2" s="333"/>
      <c r="AN2" s="333"/>
      <c r="AO2" s="334"/>
      <c r="AP2" s="334"/>
      <c r="AQ2" s="334"/>
      <c r="AR2" s="350"/>
      <c r="AS2" s="349"/>
      <c r="AT2" s="333" t="s">
        <v>5</v>
      </c>
      <c r="AU2" s="333"/>
      <c r="AV2" s="333"/>
      <c r="AW2" s="334"/>
      <c r="AX2" s="350"/>
    </row>
    <row r="3" spans="1:50" s="5" customFormat="1" ht="65">
      <c r="A3" s="473" t="s">
        <v>6</v>
      </c>
      <c r="B3" s="473" t="s">
        <v>6</v>
      </c>
      <c r="C3" s="457" t="s">
        <v>7</v>
      </c>
      <c r="D3" s="457" t="s">
        <v>8</v>
      </c>
      <c r="E3" s="458" t="s">
        <v>9</v>
      </c>
      <c r="F3" s="435" t="s">
        <v>10</v>
      </c>
      <c r="G3" s="476" t="s">
        <v>11</v>
      </c>
      <c r="H3" s="477" t="s">
        <v>12</v>
      </c>
      <c r="I3" s="477" t="s">
        <v>13</v>
      </c>
      <c r="J3" s="477" t="s">
        <v>14</v>
      </c>
      <c r="K3" s="478" t="s">
        <v>15</v>
      </c>
      <c r="L3" s="478" t="s">
        <v>16</v>
      </c>
      <c r="M3" s="478" t="s">
        <v>17</v>
      </c>
      <c r="N3" s="389" t="s">
        <v>18</v>
      </c>
      <c r="O3" s="389" t="s">
        <v>19</v>
      </c>
      <c r="P3" s="476" t="s">
        <v>11</v>
      </c>
      <c r="Q3" s="477" t="s">
        <v>12</v>
      </c>
      <c r="R3" s="477"/>
      <c r="S3" s="477"/>
      <c r="T3" s="477"/>
      <c r="U3" s="477" t="s">
        <v>20</v>
      </c>
      <c r="V3" s="477" t="s">
        <v>14</v>
      </c>
      <c r="W3" s="478" t="s">
        <v>15</v>
      </c>
      <c r="X3" s="478" t="s">
        <v>16</v>
      </c>
      <c r="Y3" s="478" t="s">
        <v>17</v>
      </c>
      <c r="Z3" s="389" t="s">
        <v>18</v>
      </c>
      <c r="AA3" s="389" t="s">
        <v>19</v>
      </c>
      <c r="AB3" s="351" t="s">
        <v>11</v>
      </c>
      <c r="AC3" s="321" t="s">
        <v>12</v>
      </c>
      <c r="AD3" s="321" t="s">
        <v>20</v>
      </c>
      <c r="AE3" s="321" t="s">
        <v>14</v>
      </c>
      <c r="AF3" s="322" t="s">
        <v>15</v>
      </c>
      <c r="AG3" s="322" t="s">
        <v>16</v>
      </c>
      <c r="AH3" s="389" t="s">
        <v>19</v>
      </c>
      <c r="AI3" s="351" t="s">
        <v>11</v>
      </c>
      <c r="AJ3" s="321"/>
      <c r="AK3" s="321" t="s">
        <v>12</v>
      </c>
      <c r="AL3" s="321" t="s">
        <v>20</v>
      </c>
      <c r="AM3" s="321" t="s">
        <v>14</v>
      </c>
      <c r="AN3" s="322" t="s">
        <v>15</v>
      </c>
      <c r="AO3" s="322" t="s">
        <v>16</v>
      </c>
      <c r="AP3" s="322"/>
      <c r="AQ3" s="389" t="s">
        <v>19</v>
      </c>
      <c r="AR3" s="351" t="s">
        <v>11</v>
      </c>
      <c r="AS3" s="321" t="s">
        <v>12</v>
      </c>
      <c r="AT3" s="321" t="s">
        <v>20</v>
      </c>
      <c r="AU3" s="321" t="s">
        <v>14</v>
      </c>
      <c r="AV3" s="322" t="s">
        <v>15</v>
      </c>
      <c r="AW3" s="352" t="s">
        <v>21</v>
      </c>
    </row>
    <row r="4" spans="1:50">
      <c r="A4" s="498">
        <v>34242</v>
      </c>
      <c r="B4" s="498">
        <v>34273</v>
      </c>
      <c r="C4" s="459"/>
      <c r="D4" s="459"/>
      <c r="E4" s="460"/>
      <c r="F4" s="436"/>
      <c r="G4" s="353"/>
      <c r="H4" s="323"/>
      <c r="I4" s="323"/>
      <c r="J4" s="323"/>
      <c r="K4" s="324"/>
      <c r="L4" s="324"/>
      <c r="M4" s="454"/>
      <c r="N4" s="324"/>
      <c r="O4" s="354"/>
      <c r="P4" s="353"/>
      <c r="Q4" s="323"/>
      <c r="R4" s="323"/>
      <c r="S4" s="323"/>
      <c r="T4" s="323"/>
      <c r="U4" s="323"/>
      <c r="V4" s="323"/>
      <c r="W4" s="324"/>
      <c r="X4" s="324"/>
      <c r="Y4" s="454"/>
      <c r="Z4" s="324"/>
      <c r="AA4" s="354"/>
      <c r="AB4" s="353"/>
      <c r="AC4" s="323"/>
      <c r="AD4" s="323"/>
      <c r="AE4" s="323"/>
      <c r="AF4" s="324"/>
      <c r="AG4" s="324"/>
      <c r="AH4" s="354"/>
      <c r="AI4" s="353"/>
      <c r="AJ4" s="323"/>
      <c r="AK4" s="323"/>
      <c r="AL4" s="323"/>
      <c r="AM4" s="323"/>
      <c r="AN4" s="324"/>
      <c r="AO4" s="324"/>
      <c r="AP4" s="324"/>
      <c r="AQ4" s="354"/>
      <c r="AR4" s="353"/>
      <c r="AS4" s="323"/>
      <c r="AT4" s="323"/>
      <c r="AU4" s="323"/>
      <c r="AV4" s="324"/>
      <c r="AW4" s="354"/>
    </row>
    <row r="5" spans="1:50">
      <c r="A5" s="459"/>
      <c r="B5" s="459"/>
      <c r="C5" s="459"/>
      <c r="D5" s="459"/>
      <c r="E5" s="460"/>
      <c r="F5" s="437" t="s">
        <v>22</v>
      </c>
      <c r="G5" s="353">
        <f>CAE!P22/CAE!N22</f>
        <v>0.85904200041787782</v>
      </c>
      <c r="H5" s="323">
        <f>CAE!P22/CAE!O22</f>
        <v>0.6494479825108801</v>
      </c>
      <c r="I5" s="323"/>
      <c r="J5" s="323"/>
      <c r="K5" s="324"/>
      <c r="L5" s="324"/>
      <c r="M5" s="454">
        <v>34120</v>
      </c>
      <c r="N5" s="324">
        <v>2</v>
      </c>
      <c r="O5" s="354" t="s">
        <v>23</v>
      </c>
      <c r="P5" s="353">
        <f>CAE!M22/CAE!K22</f>
        <v>0.53273502418255303</v>
      </c>
      <c r="Q5" s="323">
        <f>CAE!M22/CAE!L22</f>
        <v>0.39937994282907313</v>
      </c>
      <c r="R5" s="323"/>
      <c r="S5"/>
      <c r="T5"/>
      <c r="U5" s="323" t="s">
        <v>24</v>
      </c>
      <c r="V5" s="323" t="s">
        <v>25</v>
      </c>
      <c r="W5" s="324" t="str">
        <f>IF(CAE!C25&gt;0,"Yes","No")</f>
        <v>Yes</v>
      </c>
      <c r="X5" s="324" t="str">
        <f>IF(CAE!D25&gt;0,"Yes","No")</f>
        <v>Yes</v>
      </c>
      <c r="Y5" s="454">
        <v>34120</v>
      </c>
      <c r="Z5" s="324">
        <v>1</v>
      </c>
      <c r="AA5" s="354" t="s">
        <v>23</v>
      </c>
      <c r="AB5" s="353">
        <f>CAE!J22/CAE!H22</f>
        <v>7.2251610064055241E-2</v>
      </c>
      <c r="AC5" s="323">
        <f>CAE!J22/CAE!I22</f>
        <v>4.8990232699788964E-2</v>
      </c>
      <c r="AD5" s="323" t="str">
        <f>IF(AB5&gt;=1,"YES","")</f>
        <v/>
      </c>
      <c r="AE5" s="323" t="str">
        <f>IF(AC5&gt;=1,"YES","")</f>
        <v/>
      </c>
      <c r="AF5" s="324" t="str">
        <f>IF(CAE!J25&gt;0,"Yes","No")</f>
        <v>No</v>
      </c>
      <c r="AG5" s="324" t="str">
        <f>IF(CAE!K25&gt;0,"Yes","No")</f>
        <v>Yes</v>
      </c>
      <c r="AH5" s="354">
        <v>0</v>
      </c>
      <c r="AI5" s="353">
        <f>CAE!G22/CAE!E22</f>
        <v>1.6561779773823522</v>
      </c>
      <c r="AJ5" s="323"/>
      <c r="AK5" s="323">
        <f>CAE!G22/CAE!F22</f>
        <v>0.74007155207356923</v>
      </c>
      <c r="AL5" s="323" t="str">
        <f>IF(AI5&gt;=1,"YES","")</f>
        <v>YES</v>
      </c>
      <c r="AM5" s="323" t="str">
        <f>IF(AK5&gt;=1,"YES","")</f>
        <v/>
      </c>
      <c r="AN5" s="324" t="str">
        <f>IF(CAE!G25&gt;0,"Yes","No")</f>
        <v>Yes</v>
      </c>
      <c r="AO5" s="324" t="str">
        <f>IF(CAE!H25&gt;0,"Yes","No")</f>
        <v>Yes</v>
      </c>
      <c r="AP5" s="324"/>
      <c r="AQ5" s="354">
        <v>0</v>
      </c>
      <c r="AR5" s="353" t="e">
        <f>Equipment!J24/Equipment!H24</f>
        <v>#DIV/0!</v>
      </c>
      <c r="AS5" s="323" t="e">
        <f>Equipment!J24/Equipment!I24</f>
        <v>#DIV/0!</v>
      </c>
      <c r="AT5" s="323" t="s">
        <v>25</v>
      </c>
      <c r="AU5" s="323"/>
      <c r="AV5" s="324" t="s">
        <v>26</v>
      </c>
      <c r="AW5" s="354"/>
    </row>
    <row r="6" spans="1:50">
      <c r="A6" s="459"/>
      <c r="B6" s="459"/>
      <c r="C6" s="459"/>
      <c r="D6" s="459"/>
      <c r="E6" s="460"/>
      <c r="F6" s="436"/>
      <c r="G6" s="353"/>
      <c r="H6" s="323"/>
      <c r="I6" s="323"/>
      <c r="J6" s="323"/>
      <c r="K6" s="324"/>
      <c r="L6" s="324"/>
      <c r="M6" s="454"/>
      <c r="N6" s="324"/>
      <c r="O6" s="354"/>
      <c r="P6" s="353"/>
      <c r="Q6" s="323"/>
      <c r="R6" s="323"/>
      <c r="S6"/>
      <c r="T6"/>
      <c r="U6" s="323"/>
      <c r="V6" s="323"/>
      <c r="W6" s="324"/>
      <c r="X6" s="324"/>
      <c r="Y6" s="454"/>
      <c r="Z6" s="324"/>
      <c r="AA6" s="354"/>
      <c r="AB6" s="353"/>
      <c r="AC6" s="323"/>
      <c r="AD6" s="323"/>
      <c r="AE6" s="323"/>
      <c r="AF6" s="324"/>
      <c r="AG6" s="324"/>
      <c r="AH6" s="354"/>
      <c r="AI6" s="353"/>
      <c r="AJ6" s="323"/>
      <c r="AK6" s="323"/>
      <c r="AL6" s="323"/>
      <c r="AM6" s="323"/>
      <c r="AN6" s="324"/>
      <c r="AO6" s="324"/>
      <c r="AP6" s="324"/>
      <c r="AQ6" s="354"/>
      <c r="AR6" s="353"/>
      <c r="AS6" s="323"/>
      <c r="AT6" s="323"/>
      <c r="AU6" s="323"/>
      <c r="AV6" s="324"/>
      <c r="AW6" s="354"/>
    </row>
    <row r="7" spans="1:50">
      <c r="A7" s="461"/>
      <c r="B7" s="461"/>
      <c r="C7" s="461"/>
      <c r="D7" s="461"/>
      <c r="E7" s="462"/>
      <c r="F7" s="438" t="s">
        <v>27</v>
      </c>
      <c r="G7" s="355">
        <f>Testing!P22/Testing!N22</f>
        <v>0.72734474712817354</v>
      </c>
      <c r="H7" s="325">
        <f>Testing!P22/Testing!O22</f>
        <v>0.59889153705011222</v>
      </c>
      <c r="I7" s="325"/>
      <c r="J7" s="325"/>
      <c r="K7" s="326"/>
      <c r="L7" s="326"/>
      <c r="M7" s="455">
        <v>33847</v>
      </c>
      <c r="N7" s="326"/>
      <c r="O7" s="356"/>
      <c r="P7" s="355">
        <f>Testing!M22/Testing!K22</f>
        <v>0.62039718314294856</v>
      </c>
      <c r="Q7" s="325">
        <f>Testing!M22/Testing!L22</f>
        <v>0.45782444838339648</v>
      </c>
      <c r="R7" s="325"/>
      <c r="S7"/>
      <c r="T7"/>
      <c r="U7" s="325"/>
      <c r="V7" s="325"/>
      <c r="W7" s="326"/>
      <c r="X7" s="326" t="str">
        <f>IF(Testing!D22&gt;0,"Yes","no")</f>
        <v>Yes</v>
      </c>
      <c r="Y7" s="455">
        <v>33847</v>
      </c>
      <c r="Z7" s="326">
        <v>4</v>
      </c>
      <c r="AA7" s="356" t="s">
        <v>23</v>
      </c>
      <c r="AB7" s="446" t="s">
        <v>28</v>
      </c>
      <c r="AC7" s="447" t="s">
        <v>28</v>
      </c>
      <c r="AD7" s="325"/>
      <c r="AE7" s="325"/>
      <c r="AF7" s="326"/>
      <c r="AG7" s="326" t="str">
        <f>IF(Testing!K22&gt;0,"Yes","no")</f>
        <v>Yes</v>
      </c>
      <c r="AH7" s="356">
        <v>0</v>
      </c>
      <c r="AI7" s="355">
        <f>Testing!G22/Testing!E22</f>
        <v>2.6929163150105508</v>
      </c>
      <c r="AJ7" s="325"/>
      <c r="AK7" s="325">
        <f>Testing!G22/Testing!F22</f>
        <v>1.2331646626956545</v>
      </c>
      <c r="AL7" s="325" t="str">
        <f>IF(AI7&gt;=1,"YES","NO")</f>
        <v>YES</v>
      </c>
      <c r="AM7" s="325"/>
      <c r="AN7" s="326" t="str">
        <f>IF(Testing!G22&gt;0,"Yes","no")</f>
        <v>Yes</v>
      </c>
      <c r="AO7" s="326" t="str">
        <f>IF(Testing!H22&gt;0,"Yes","no")</f>
        <v>Yes</v>
      </c>
      <c r="AP7" s="326"/>
      <c r="AQ7" s="356">
        <v>0</v>
      </c>
      <c r="AR7" s="355">
        <f>Testing!J22/Testing!H22</f>
        <v>0.20677752871050015</v>
      </c>
      <c r="AS7" s="325">
        <f>Testing!J22/Testing!I22</f>
        <v>0.12779685163877613</v>
      </c>
      <c r="AT7" s="325" t="s">
        <v>25</v>
      </c>
      <c r="AU7" s="325"/>
      <c r="AV7" s="326" t="s">
        <v>26</v>
      </c>
      <c r="AW7" s="356"/>
    </row>
    <row r="8" spans="1:50">
      <c r="A8" s="471" t="str">
        <f>IF([1]Palatine!AD8&gt;0,"Yes","No")</f>
        <v>No</v>
      </c>
      <c r="B8" s="471" t="str">
        <f>IF([1]Palatine!AE8&gt;0,"Yes","No")</f>
        <v>No</v>
      </c>
      <c r="C8" s="463" t="s">
        <v>29</v>
      </c>
      <c r="D8" s="463"/>
      <c r="E8" s="464" t="s">
        <v>30</v>
      </c>
      <c r="F8" s="436" t="s">
        <v>31</v>
      </c>
      <c r="G8" s="353">
        <f>IF([1]Palatine!P$10&gt;0,[1]Palatine!P$10/[1]Palatine!N$10," ")</f>
        <v>0.30995114931236972</v>
      </c>
      <c r="H8" s="323">
        <f>[1]Palatine!P$10/[1]Palatine!O$10</f>
        <v>0.28523958994052245</v>
      </c>
      <c r="I8" s="452" t="s">
        <v>25</v>
      </c>
      <c r="J8" s="323" t="s">
        <v>25</v>
      </c>
      <c r="K8" s="324" t="str">
        <f>IF([1]Palatine!$G$22&gt;0,"Yes","")</f>
        <v/>
      </c>
      <c r="L8" s="324" t="s">
        <v>26</v>
      </c>
      <c r="M8" s="454">
        <v>33938</v>
      </c>
      <c r="N8" s="324"/>
      <c r="O8" s="354"/>
      <c r="P8" s="353">
        <f>IF([1]Palatine!M$10&gt;0,[1]Palatine!M$10/[1]Palatine!K$10," ")</f>
        <v>0.45709876871586691</v>
      </c>
      <c r="Q8" s="323">
        <f>[1]Palatine!M$10/[1]Palatine!L$10</f>
        <v>0.35977165616324852</v>
      </c>
      <c r="R8" s="323"/>
      <c r="S8"/>
      <c r="T8"/>
      <c r="U8" s="452" t="s">
        <v>25</v>
      </c>
      <c r="V8" s="323" t="s">
        <v>25</v>
      </c>
      <c r="W8" s="324" t="str">
        <f>IF([1]Palatine!$G$22&gt;0,"Yes","")</f>
        <v/>
      </c>
      <c r="X8" s="324" t="s">
        <v>26</v>
      </c>
      <c r="Y8" s="454">
        <v>33938</v>
      </c>
      <c r="Z8" s="324">
        <v>4</v>
      </c>
      <c r="AA8" s="354" t="s">
        <v>23</v>
      </c>
      <c r="AB8" s="353">
        <f>[1]Palatine!J$10/[1]Palatine!H$10</f>
        <v>0.34979281554698932</v>
      </c>
      <c r="AC8" s="323">
        <f>[1]Palatine!J$10/[1]Palatine!I$10</f>
        <v>0.22331784187775389</v>
      </c>
      <c r="AD8" s="323" t="str">
        <f>IF(AB8&gt;=1,"YES","")</f>
        <v/>
      </c>
      <c r="AE8" s="323"/>
      <c r="AF8" s="324" t="str">
        <f>IF([1]Palatine!$G$22&gt;0,"Yes","")</f>
        <v/>
      </c>
      <c r="AG8" s="324" t="s">
        <v>26</v>
      </c>
      <c r="AH8" s="354">
        <v>0</v>
      </c>
      <c r="AI8" s="353">
        <f>[1]Palatine!G$10/[1]Palatine!E$10</f>
        <v>0.79785849590972979</v>
      </c>
      <c r="AJ8" s="323"/>
      <c r="AK8" s="323">
        <f>[1]Palatine!G$10/[1]Palatine!F$10</f>
        <v>0.74616504420704788</v>
      </c>
      <c r="AL8" s="323" t="str">
        <f>IF(AI8&gt;=1,"YES","")</f>
        <v/>
      </c>
      <c r="AM8" s="323"/>
      <c r="AN8" s="324" t="str">
        <f>IF([1]Palatine!$G$22&gt;0,"Yes","")</f>
        <v/>
      </c>
      <c r="AO8" s="324" t="s">
        <v>26</v>
      </c>
      <c r="AP8" s="324"/>
      <c r="AQ8" s="354">
        <v>0</v>
      </c>
      <c r="AR8" s="353">
        <f>[1]Palatine!$D$10/[1]Palatine!$B$10</f>
        <v>0.90570597948829035</v>
      </c>
      <c r="AS8" s="323">
        <f>[1]Palatine!$D$10/[1]Palatine!$C$10</f>
        <v>0.8842598133699322</v>
      </c>
      <c r="AT8" s="323" t="s">
        <v>25</v>
      </c>
      <c r="AU8" s="323"/>
      <c r="AV8" s="324" t="s">
        <v>26</v>
      </c>
      <c r="AW8" s="354" t="s">
        <v>26</v>
      </c>
    </row>
    <row r="9" spans="1:50">
      <c r="A9" s="471" t="str">
        <f>IF([1]Pittsburgh!AD8&gt;0,"Yes","No")</f>
        <v>No</v>
      </c>
      <c r="B9" s="471" t="str">
        <f>IF([1]Pittsburgh!AE8&gt;0,"Yes","No")</f>
        <v>No</v>
      </c>
      <c r="C9" s="463" t="s">
        <v>29</v>
      </c>
      <c r="D9" s="463"/>
      <c r="E9" s="464" t="s">
        <v>30</v>
      </c>
      <c r="F9" s="436" t="s">
        <v>32</v>
      </c>
      <c r="G9" s="353">
        <f>IF([1]Pittsburgh!P$10&gt;0,[1]Pittsburgh!P$10/[1]Pittsburgh!N$10," ")</f>
        <v>3.0140575423235827</v>
      </c>
      <c r="H9" s="323">
        <f>[1]Pittsburgh!P$10/[1]Pittsburgh!O$10</f>
        <v>2.0563082625337188</v>
      </c>
      <c r="I9" s="323" t="str">
        <f>IF(G9&gt;=1,"YES","NO")</f>
        <v>YES</v>
      </c>
      <c r="J9" s="323" t="s">
        <v>25</v>
      </c>
      <c r="K9" s="368" t="str">
        <f>IF([1]Pittsburgh!$J$22&gt;0,"Yes","")</f>
        <v/>
      </c>
      <c r="L9" s="368" t="str">
        <f>IF([1]Pittsburgh!$J$10&gt;0,"Yes","")</f>
        <v/>
      </c>
      <c r="M9" s="454">
        <v>34120</v>
      </c>
      <c r="N9" s="368"/>
      <c r="O9" s="390"/>
      <c r="P9" s="353">
        <f>IF([1]Pittsburgh!M$10&gt;0,[1]Pittsburgh!M$10/[1]Pittsburgh!K$10," ")</f>
        <v>1.0018154698071633</v>
      </c>
      <c r="Q9" s="323">
        <f>[1]Pittsburgh!M$10/[1]Pittsburgh!L$10</f>
        <v>0.5730038586786812</v>
      </c>
      <c r="R9" s="323"/>
      <c r="S9"/>
      <c r="T9"/>
      <c r="U9" s="323" t="str">
        <f>IF(P9&gt;=1,"YES","NO")</f>
        <v>YES</v>
      </c>
      <c r="V9" s="323" t="s">
        <v>25</v>
      </c>
      <c r="W9" s="368" t="str">
        <f>IF([1]Pittsburgh!$J$22&gt;0,"Yes","")</f>
        <v/>
      </c>
      <c r="X9" s="368" t="str">
        <f>IF([1]Pittsburgh!$J$10&gt;0,"Yes","")</f>
        <v/>
      </c>
      <c r="Y9" s="454">
        <v>34120</v>
      </c>
      <c r="Z9" s="368">
        <v>1</v>
      </c>
      <c r="AA9" s="390" t="s">
        <v>23</v>
      </c>
      <c r="AB9" s="370" t="s">
        <v>28</v>
      </c>
      <c r="AC9" s="371" t="s">
        <v>28</v>
      </c>
      <c r="AD9" s="366"/>
      <c r="AE9" s="327"/>
      <c r="AF9" s="368" t="str">
        <f>IF([1]Pittsburgh!$J$22&gt;0,"Yes","")</f>
        <v/>
      </c>
      <c r="AG9" s="368" t="str">
        <f>IF([1]Pittsburgh!$J$10&gt;0,"Yes","")</f>
        <v/>
      </c>
      <c r="AH9" s="390">
        <v>1</v>
      </c>
      <c r="AI9" s="353">
        <f>[1]Pittsburgh!G$10/[1]Pittsburgh!E$10</f>
        <v>1.0133132725849567</v>
      </c>
      <c r="AJ9" s="323"/>
      <c r="AK9" s="323">
        <f>[1]Pittsburgh!G$10/[1]Pittsburgh!F$10</f>
        <v>0.72773652446914572</v>
      </c>
      <c r="AL9" s="366" t="str">
        <f>IF(AI9&gt;=1,"YES","NO")</f>
        <v>YES</v>
      </c>
      <c r="AM9" s="327"/>
      <c r="AN9" s="368" t="str">
        <f>IF([1]Pittsburgh!$G$22&gt;0,"Yes","")</f>
        <v>Yes</v>
      </c>
      <c r="AO9" s="368" t="s">
        <v>26</v>
      </c>
      <c r="AP9" s="368"/>
      <c r="AQ9" s="390">
        <v>0</v>
      </c>
      <c r="AR9" s="353">
        <f>[1]Pittsburgh!$D$10/[1]Pittsburgh!$B$10</f>
        <v>2.1222828550191264</v>
      </c>
      <c r="AS9" s="323">
        <f>[1]Pittsburgh!$D$10/[1]Pittsburgh!$C$10</f>
        <v>1.5273602630342884</v>
      </c>
      <c r="AT9" s="327" t="s">
        <v>26</v>
      </c>
      <c r="AU9" s="327" t="s">
        <v>33</v>
      </c>
      <c r="AV9" s="328" t="s">
        <v>26</v>
      </c>
      <c r="AW9" s="354" t="s">
        <v>26</v>
      </c>
    </row>
    <row r="10" spans="1:50">
      <c r="A10" s="471" t="str">
        <f>IF([1]Denver!AD8&gt;0,"Yes","No")</f>
        <v>No</v>
      </c>
      <c r="B10" s="471" t="str">
        <f>IF([1]Denver!AE8&gt;0,"Yes","No")</f>
        <v>No</v>
      </c>
      <c r="C10" s="463" t="s">
        <v>29</v>
      </c>
      <c r="D10" s="463"/>
      <c r="E10" s="464" t="s">
        <v>30</v>
      </c>
      <c r="F10" s="436" t="s">
        <v>34</v>
      </c>
      <c r="G10" s="353">
        <f>IF([1]Denver!P$10&gt;0,[1]Denver!P$10/[1]Denver!N$10,0)</f>
        <v>0</v>
      </c>
      <c r="H10" s="323">
        <f>[1]Denver!N10/[1]Denver!O10</f>
        <v>0.28642496419687946</v>
      </c>
      <c r="I10" s="323" t="str">
        <f>IF(G10&gt;=1,"YES","NO")</f>
        <v>NO</v>
      </c>
      <c r="J10" s="323" t="s">
        <v>24</v>
      </c>
      <c r="K10" s="368" t="str">
        <f>IF([1]Denver!$J$22&gt;0,"Yes","")</f>
        <v>Yes</v>
      </c>
      <c r="L10" s="324" t="s">
        <v>26</v>
      </c>
      <c r="M10" s="454">
        <v>33755</v>
      </c>
      <c r="N10" s="324"/>
      <c r="O10" s="354"/>
      <c r="P10" s="353">
        <f>IF([1]Denver!M$10&gt;0,[1]Denver!M$10/[1]Denver!K$10," ")</f>
        <v>1.9997696753003769</v>
      </c>
      <c r="Q10" s="323">
        <f>[1]Denver!K10/[1]Denver!L10</f>
        <v>0.78500677208270098</v>
      </c>
      <c r="R10" s="323"/>
      <c r="S10"/>
      <c r="T10"/>
      <c r="U10" s="323" t="str">
        <f>IF(P10&gt;=1,"YES","NO")</f>
        <v>YES</v>
      </c>
      <c r="V10" s="323" t="s">
        <v>24</v>
      </c>
      <c r="W10" s="368" t="str">
        <f>IF([1]Denver!$J$22&gt;0,"Yes","")</f>
        <v>Yes</v>
      </c>
      <c r="X10" s="324" t="s">
        <v>26</v>
      </c>
      <c r="Y10" s="454">
        <v>33755</v>
      </c>
      <c r="Z10" s="324">
        <v>5</v>
      </c>
      <c r="AA10" s="354" t="s">
        <v>23</v>
      </c>
      <c r="AB10" s="353" t="s">
        <v>35</v>
      </c>
      <c r="AC10" s="323">
        <f>[1]Denver!$J$22/[1]Denver!$I$22</f>
        <v>11.359801184986045</v>
      </c>
      <c r="AD10" s="323" t="str">
        <f>IF(AB10&gt;=1,"YES","NO")</f>
        <v>YES</v>
      </c>
      <c r="AE10" s="323" t="str">
        <f>IF(AC10&gt;=1,"YES","NO")</f>
        <v>YES</v>
      </c>
      <c r="AF10" s="368" t="str">
        <f>IF([1]Denver!$J$22&gt;0,"Yes","")</f>
        <v>Yes</v>
      </c>
      <c r="AG10" s="324" t="s">
        <v>26</v>
      </c>
      <c r="AH10" s="354">
        <v>0</v>
      </c>
      <c r="AI10" s="353" t="s">
        <v>36</v>
      </c>
      <c r="AJ10" s="323"/>
      <c r="AK10" s="323" t="s">
        <v>36</v>
      </c>
      <c r="AL10" s="323" t="str">
        <f>IF(AI10&gt;=1,"YES","NO")</f>
        <v>YES</v>
      </c>
      <c r="AM10" s="323" t="str">
        <f>IF(AK10&gt;=1,"YES","NO")</f>
        <v>YES</v>
      </c>
      <c r="AN10" s="368" t="str">
        <f>IF([1]Denver!$G$22&gt;0,"Yes","")</f>
        <v/>
      </c>
      <c r="AO10" s="324" t="s">
        <v>26</v>
      </c>
      <c r="AP10" s="324"/>
      <c r="AQ10" s="354">
        <v>0</v>
      </c>
      <c r="AR10" s="353">
        <f>[1]Denver!$D$10/[1]Denver!$B$10</f>
        <v>0.62225531914893617</v>
      </c>
      <c r="AS10" s="323">
        <f>[1]Denver!$D$10/[1]Denver!$C$10</f>
        <v>0.43327407407407409</v>
      </c>
      <c r="AT10" s="323" t="s">
        <v>25</v>
      </c>
      <c r="AU10" s="323"/>
      <c r="AV10" s="324" t="s">
        <v>25</v>
      </c>
      <c r="AW10" s="354" t="s">
        <v>26</v>
      </c>
    </row>
    <row r="11" spans="1:50">
      <c r="A11" s="471" t="str">
        <f>IF([1]Palatine!AD$8&gt;0,"Yes","No")</f>
        <v>No</v>
      </c>
      <c r="B11" s="471" t="str">
        <f>IF([1]Palatine!AE$8&gt;0,"Yes","No")</f>
        <v>No</v>
      </c>
      <c r="C11" s="463" t="s">
        <v>29</v>
      </c>
      <c r="D11" s="463"/>
      <c r="E11" s="464" t="s">
        <v>30</v>
      </c>
      <c r="F11" s="436" t="s">
        <v>37</v>
      </c>
      <c r="G11" s="353">
        <f>IF([1]Houston!P$10&gt;0,[1]Houston!P$10/[1]Houston!N$10,0)</f>
        <v>0</v>
      </c>
      <c r="H11" s="371">
        <f>[1]Houston!P$10/[1]Houston!O$10</f>
        <v>-1.0525556720272033</v>
      </c>
      <c r="I11" s="510" t="s">
        <v>25</v>
      </c>
      <c r="J11" s="510" t="s">
        <v>25</v>
      </c>
      <c r="K11" s="510" t="s">
        <v>25</v>
      </c>
      <c r="L11" s="510" t="s">
        <v>25</v>
      </c>
      <c r="M11" s="511">
        <v>34303</v>
      </c>
      <c r="N11" s="324"/>
      <c r="O11" s="448">
        <v>4</v>
      </c>
      <c r="P11" s="353" t="str">
        <f>IF([1]Houston!M$10&gt;0,[1]Houston!M$10/[1]Houston!K$10," ")</f>
        <v xml:space="preserve"> </v>
      </c>
      <c r="Q11" s="323">
        <f>[1]Houston!M$10/[1]Houston!L$10</f>
        <v>-1.3087915321320693</v>
      </c>
      <c r="R11" s="323"/>
      <c r="S11"/>
      <c r="T11"/>
      <c r="U11" s="323"/>
      <c r="V11" s="327"/>
      <c r="W11" s="368" t="str">
        <f>IF([1]Houston!$G$22&gt;0,"Yes","")</f>
        <v/>
      </c>
      <c r="X11" s="324" t="s">
        <v>25</v>
      </c>
      <c r="Y11" s="454">
        <v>34212</v>
      </c>
      <c r="Z11" s="324" t="s">
        <v>23</v>
      </c>
      <c r="AA11" s="448">
        <v>3</v>
      </c>
      <c r="AB11" s="370" t="s">
        <v>28</v>
      </c>
      <c r="AC11" s="371" t="s">
        <v>28</v>
      </c>
      <c r="AD11" s="323"/>
      <c r="AE11" s="327"/>
      <c r="AF11" s="368" t="str">
        <f>IF([1]Houston!$G$22&gt;0,"Yes","")</f>
        <v/>
      </c>
      <c r="AG11" s="324"/>
      <c r="AH11" s="354">
        <v>2</v>
      </c>
      <c r="AI11" s="353">
        <f>IF([1]Houston!$G$10&gt;0,[1]Houston!$G$10/[1]Houston!$E$10,F33)</f>
        <v>0</v>
      </c>
      <c r="AJ11" s="323"/>
      <c r="AK11" s="323">
        <f>[1]Houston!G$10/[1]Houston!F$10</f>
        <v>-1.3698237055392082</v>
      </c>
      <c r="AL11" s="323"/>
      <c r="AM11" s="327"/>
      <c r="AN11" s="368" t="str">
        <f>IF([1]Houston!$G$22&gt;0,"Yes","")</f>
        <v/>
      </c>
      <c r="AO11" s="324"/>
      <c r="AP11" s="324"/>
      <c r="AQ11" s="354">
        <v>1</v>
      </c>
      <c r="AR11" s="357" t="s">
        <v>35</v>
      </c>
      <c r="AS11" s="323">
        <f>[1]Houston!$D$10/[1]Houston!$C$10</f>
        <v>16.274018912529552</v>
      </c>
      <c r="AT11" s="323" t="s">
        <v>26</v>
      </c>
      <c r="AU11" s="327" t="s">
        <v>33</v>
      </c>
      <c r="AV11" s="324" t="s">
        <v>26</v>
      </c>
      <c r="AW11" s="354" t="s">
        <v>26</v>
      </c>
    </row>
    <row r="12" spans="1:50">
      <c r="A12" s="472"/>
      <c r="B12" s="472"/>
      <c r="C12" s="465"/>
      <c r="D12" s="465"/>
      <c r="E12" s="466"/>
      <c r="F12" s="439" t="s">
        <v>38</v>
      </c>
      <c r="G12" s="358"/>
      <c r="H12" s="329"/>
      <c r="I12" s="329"/>
      <c r="J12" s="329"/>
      <c r="K12" s="329"/>
      <c r="L12" s="329"/>
      <c r="M12" s="454"/>
      <c r="N12" s="329"/>
      <c r="O12" s="359"/>
      <c r="P12" s="358"/>
      <c r="Q12" s="329"/>
      <c r="R12" s="329"/>
      <c r="S12"/>
      <c r="T12"/>
      <c r="U12" s="329"/>
      <c r="V12" s="329"/>
      <c r="W12" s="329" t="s">
        <v>39</v>
      </c>
      <c r="X12" s="329"/>
      <c r="Y12" s="454"/>
      <c r="Z12" s="329"/>
      <c r="AA12" s="359">
        <v>0</v>
      </c>
      <c r="AB12" s="358" t="s">
        <v>39</v>
      </c>
      <c r="AC12" s="329"/>
      <c r="AD12" s="329"/>
      <c r="AE12" s="329"/>
      <c r="AF12" s="329" t="s">
        <v>39</v>
      </c>
      <c r="AG12" s="329"/>
      <c r="AH12" s="359">
        <v>0</v>
      </c>
      <c r="AI12" s="358" t="s">
        <v>39</v>
      </c>
      <c r="AJ12" s="329"/>
      <c r="AK12" s="329"/>
      <c r="AL12" s="329"/>
      <c r="AM12" s="329"/>
      <c r="AN12" s="329" t="s">
        <v>39</v>
      </c>
      <c r="AO12" s="329"/>
      <c r="AP12" s="329"/>
      <c r="AQ12" s="359">
        <v>0</v>
      </c>
      <c r="AR12" s="358" t="s">
        <v>28</v>
      </c>
      <c r="AS12" s="329" t="s">
        <v>28</v>
      </c>
      <c r="AT12" s="329" t="s">
        <v>25</v>
      </c>
      <c r="AU12" s="329"/>
      <c r="AV12" s="329" t="s">
        <v>39</v>
      </c>
      <c r="AW12" s="359"/>
    </row>
    <row r="13" spans="1:50">
      <c r="A13" s="471"/>
      <c r="B13" s="471"/>
      <c r="C13" s="467"/>
      <c r="D13" s="467"/>
      <c r="E13" s="464"/>
      <c r="F13" s="436"/>
      <c r="G13" s="353"/>
      <c r="H13" s="323"/>
      <c r="I13" s="323"/>
      <c r="J13" s="323"/>
      <c r="K13" s="324"/>
      <c r="L13" s="324"/>
      <c r="M13" s="455"/>
      <c r="N13" s="324"/>
      <c r="O13" s="354"/>
      <c r="P13" s="353"/>
      <c r="Q13" s="323"/>
      <c r="R13" s="323"/>
      <c r="S13"/>
      <c r="T13"/>
      <c r="U13" s="323"/>
      <c r="V13" s="323"/>
      <c r="W13" s="324"/>
      <c r="X13" s="324"/>
      <c r="Y13" s="455"/>
      <c r="Z13" s="324"/>
      <c r="AA13" s="354"/>
      <c r="AB13" s="353"/>
      <c r="AC13" s="323"/>
      <c r="AD13" s="323"/>
      <c r="AE13" s="323"/>
      <c r="AF13" s="324"/>
      <c r="AG13" s="324"/>
      <c r="AH13" s="354"/>
      <c r="AI13" s="353"/>
      <c r="AJ13" s="323"/>
      <c r="AK13" s="323"/>
      <c r="AL13" s="323"/>
      <c r="AM13" s="323"/>
      <c r="AN13" s="324"/>
      <c r="AO13" s="324"/>
      <c r="AP13" s="324"/>
      <c r="AQ13" s="354"/>
      <c r="AR13" s="353"/>
      <c r="AS13" s="323"/>
      <c r="AT13" s="323"/>
      <c r="AU13" s="323"/>
      <c r="AV13" s="324"/>
      <c r="AW13" s="354"/>
    </row>
    <row r="14" spans="1:50">
      <c r="A14" s="470"/>
      <c r="B14" s="470"/>
      <c r="C14" s="461"/>
      <c r="D14" s="461"/>
      <c r="E14" s="462"/>
      <c r="F14" s="438" t="s">
        <v>40</v>
      </c>
      <c r="G14" s="355">
        <f>Equipment!P22/Equipment!N22</f>
        <v>1.0819142034825147</v>
      </c>
      <c r="H14" s="325">
        <f>Equipment!P22/Equipment!O22</f>
        <v>0.74793969304790531</v>
      </c>
      <c r="I14" s="325"/>
      <c r="J14" s="325"/>
      <c r="K14" s="326" t="s">
        <v>26</v>
      </c>
      <c r="L14" s="326" t="s">
        <v>26</v>
      </c>
      <c r="M14" s="456" t="s">
        <v>41</v>
      </c>
      <c r="N14" s="326"/>
      <c r="O14" s="356"/>
      <c r="P14" s="355">
        <f>Equipment!M22/Equipment!K22</f>
        <v>0.58954794126734655</v>
      </c>
      <c r="Q14" s="325">
        <f>Equipment!M22/Equipment!L22</f>
        <v>0.46015412651644638</v>
      </c>
      <c r="R14" s="325"/>
      <c r="S14"/>
      <c r="T14"/>
      <c r="U14" s="325"/>
      <c r="V14" s="325"/>
      <c r="W14" s="326" t="s">
        <v>26</v>
      </c>
      <c r="X14" s="326" t="s">
        <v>26</v>
      </c>
      <c r="Y14" s="456" t="s">
        <v>41</v>
      </c>
      <c r="Z14" s="326"/>
      <c r="AA14" s="356">
        <v>1</v>
      </c>
      <c r="AB14" s="355">
        <f>Equipment!J22/Equipment!H22</f>
        <v>-0.15585973074266232</v>
      </c>
      <c r="AC14" s="325">
        <f>Equipment!J22/Equipment!I22</f>
        <v>-0.12193191086684069</v>
      </c>
      <c r="AD14" s="325"/>
      <c r="AE14" s="325"/>
      <c r="AF14" s="326" t="s">
        <v>26</v>
      </c>
      <c r="AG14" s="326" t="s">
        <v>26</v>
      </c>
      <c r="AH14" s="356">
        <v>1</v>
      </c>
      <c r="AI14" s="355">
        <f>[2]Equipment!G$22/[2]Equipment!E$22</f>
        <v>0.42605282781898818</v>
      </c>
      <c r="AJ14" s="325"/>
      <c r="AK14" s="325">
        <f>[2]Equipment!G$22/[2]Equipment!F$22</f>
        <v>0.20339510220906484</v>
      </c>
      <c r="AL14" s="325"/>
      <c r="AM14" s="325"/>
      <c r="AN14" s="326" t="s">
        <v>26</v>
      </c>
      <c r="AO14" s="326" t="s">
        <v>26</v>
      </c>
      <c r="AP14" s="326"/>
      <c r="AQ14" s="356">
        <v>0</v>
      </c>
      <c r="AR14" s="355">
        <f>[2]Equipment!$D$22/[2]Equipment!$B$22</f>
        <v>0.99266267608381731</v>
      </c>
      <c r="AS14" s="325">
        <f>[2]Equipment!$D$22/[2]Equipment!$C$22</f>
        <v>0.44923740265244472</v>
      </c>
      <c r="AT14" s="325" t="s">
        <v>42</v>
      </c>
      <c r="AU14" s="325"/>
      <c r="AV14" s="326" t="s">
        <v>26</v>
      </c>
      <c r="AW14" s="356"/>
    </row>
    <row r="15" spans="1:50">
      <c r="A15" s="471" t="str">
        <f>IF('[2]71 Inst Rent'!AF$8&lt;&gt;0,"Yes","No")</f>
        <v>Yes</v>
      </c>
      <c r="B15" s="471" t="str">
        <f>IF('[2]71 Inst Rent'!AG$8&lt;&gt;0,"Yes","No")</f>
        <v>Yes</v>
      </c>
      <c r="C15" s="463" t="s">
        <v>29</v>
      </c>
      <c r="D15" s="463" t="s">
        <v>43</v>
      </c>
      <c r="E15" s="464" t="s">
        <v>44</v>
      </c>
      <c r="F15" s="436" t="s">
        <v>45</v>
      </c>
      <c r="G15" s="353">
        <f>'[2]71 Inst Rent'!P$22/'[2]71 Inst Rent'!N$22</f>
        <v>0.88600643082046571</v>
      </c>
      <c r="H15" s="323">
        <f>'[2]71 Inst Rent'!P$22/'[2]71 Inst Rent'!O$22</f>
        <v>0.69628342636212193</v>
      </c>
      <c r="I15" s="366"/>
      <c r="J15" s="327"/>
      <c r="K15" s="368" t="s">
        <v>26</v>
      </c>
      <c r="L15" s="368" t="s">
        <v>26</v>
      </c>
      <c r="M15" s="454" t="s">
        <v>41</v>
      </c>
      <c r="N15" s="368"/>
      <c r="O15" s="390"/>
      <c r="P15" s="353">
        <f>'[2]71 Inst Rent'!M$22/'[2]71 Inst Rent'!K$22</f>
        <v>1.1031216003688904</v>
      </c>
      <c r="Q15" s="323">
        <f>'[2]71 Inst Rent'!M$22/'[2]71 Inst Rent'!L$22</f>
        <v>0.96906685552254934</v>
      </c>
      <c r="R15" s="323"/>
      <c r="S15"/>
      <c r="T15"/>
      <c r="U15" s="366"/>
      <c r="V15" s="327"/>
      <c r="W15" s="368" t="s">
        <v>26</v>
      </c>
      <c r="X15" s="368" t="s">
        <v>26</v>
      </c>
      <c r="Y15" s="454" t="s">
        <v>41</v>
      </c>
      <c r="Z15" s="368"/>
      <c r="AA15" s="390">
        <v>0</v>
      </c>
      <c r="AB15" s="353">
        <f>'[2]71 Inst Rent'!J$22/'[2]71 Inst Rent'!H$22</f>
        <v>0.43286201294390991</v>
      </c>
      <c r="AC15" s="323">
        <f>'[2]71 Inst Rent'!J$22/'[2]71 Inst Rent'!I$22</f>
        <v>0.37661370054865739</v>
      </c>
      <c r="AD15" s="366"/>
      <c r="AE15" s="327"/>
      <c r="AF15" s="368" t="s">
        <v>26</v>
      </c>
      <c r="AG15" s="368" t="s">
        <v>26</v>
      </c>
      <c r="AH15" s="390">
        <v>0</v>
      </c>
      <c r="AI15" s="353">
        <f>'[2]71 Inst Rent'!G$22/'[2]71 Inst Rent'!E$22</f>
        <v>0.98868977176669481</v>
      </c>
      <c r="AJ15" s="323"/>
      <c r="AK15" s="323">
        <f>'[2]71 Inst Rent'!G$22/'[2]71 Inst Rent'!F$22</f>
        <v>0.60508018623900672</v>
      </c>
      <c r="AL15" s="366"/>
      <c r="AM15" s="327"/>
      <c r="AN15" s="368" t="s">
        <v>26</v>
      </c>
      <c r="AO15" s="368" t="s">
        <v>26</v>
      </c>
      <c r="AP15" s="368"/>
      <c r="AQ15" s="390">
        <v>0</v>
      </c>
      <c r="AR15" s="353">
        <f>'[2]71 Inst Rent'!$D$22/'[2]71 Inst Rent'!$B$22</f>
        <v>1.8423613829093282</v>
      </c>
      <c r="AS15" s="323">
        <f>'[2]71 Inst Rent'!$D$22/'[2]71 Inst Rent'!$C$22</f>
        <v>1.1704682967260671</v>
      </c>
      <c r="AT15" s="327" t="s">
        <v>26</v>
      </c>
      <c r="AU15" s="327" t="s">
        <v>33</v>
      </c>
      <c r="AV15" s="328" t="s">
        <v>26</v>
      </c>
      <c r="AW15" s="354"/>
    </row>
    <row r="16" spans="1:50" ht="14" thickBot="1">
      <c r="A16" s="475" t="str">
        <f>IF([2]UK!AZ$8&lt;&gt;0,"Yes","No")</f>
        <v>Yes</v>
      </c>
      <c r="B16" s="475" t="str">
        <f>IF([2]UK!BA$8&lt;&gt;0,"Yes","No")</f>
        <v>Yes</v>
      </c>
      <c r="C16" s="463" t="s">
        <v>29</v>
      </c>
      <c r="D16" s="463" t="s">
        <v>44</v>
      </c>
      <c r="E16" s="464" t="s">
        <v>46</v>
      </c>
      <c r="F16" s="436" t="s">
        <v>47</v>
      </c>
      <c r="G16" s="370"/>
      <c r="H16" s="371"/>
      <c r="I16" s="323"/>
      <c r="J16" s="323"/>
      <c r="K16" s="324"/>
      <c r="L16" s="324"/>
      <c r="M16" s="454"/>
      <c r="N16" s="324"/>
      <c r="O16" s="448"/>
      <c r="P16" s="370"/>
      <c r="Q16" s="371"/>
      <c r="R16" s="371"/>
      <c r="S16"/>
      <c r="T16"/>
      <c r="U16" s="323"/>
      <c r="V16" s="323"/>
      <c r="W16" s="324"/>
      <c r="X16" s="324"/>
      <c r="Y16" s="454"/>
      <c r="Z16" s="324"/>
      <c r="AA16" s="448"/>
      <c r="AB16" s="370" t="s">
        <v>48</v>
      </c>
      <c r="AC16" s="371" t="s">
        <v>28</v>
      </c>
      <c r="AD16" s="323"/>
      <c r="AE16" s="323"/>
      <c r="AF16" s="324"/>
      <c r="AG16" s="324"/>
      <c r="AH16" s="448">
        <v>3</v>
      </c>
      <c r="AI16" s="370" t="s">
        <v>48</v>
      </c>
      <c r="AJ16" s="371"/>
      <c r="AK16" s="371" t="s">
        <v>28</v>
      </c>
      <c r="AL16" s="323"/>
      <c r="AM16" s="323"/>
      <c r="AN16" s="324"/>
      <c r="AO16" s="324"/>
      <c r="AP16" s="324"/>
      <c r="AQ16" s="354">
        <v>2</v>
      </c>
      <c r="AR16" s="353" t="s">
        <v>48</v>
      </c>
      <c r="AS16" s="323" t="s">
        <v>28</v>
      </c>
      <c r="AT16" s="323" t="s">
        <v>25</v>
      </c>
      <c r="AU16" s="323"/>
      <c r="AV16" s="324" t="s">
        <v>25</v>
      </c>
      <c r="AW16" s="354" t="s">
        <v>25</v>
      </c>
    </row>
    <row r="17" spans="1:49" ht="14" thickBot="1">
      <c r="A17" s="471" t="str">
        <f>IF('[2]72 France'!AF$8&lt;&gt;0,"Yes","No")</f>
        <v>Yes</v>
      </c>
      <c r="B17" s="471" t="str">
        <f>IF('[2]72 France'!AG$8&lt;&gt;0,"Yes","No")</f>
        <v>Yes</v>
      </c>
      <c r="C17" s="463" t="s">
        <v>29</v>
      </c>
      <c r="D17" s="463" t="s">
        <v>43</v>
      </c>
      <c r="E17" s="464" t="s">
        <v>44</v>
      </c>
      <c r="F17" s="436" t="s">
        <v>49</v>
      </c>
      <c r="G17" s="370"/>
      <c r="H17" s="323">
        <f>'[2]72 France'!P10/'[2]72 France'!O10</f>
        <v>3.0606122001419689E+59</v>
      </c>
      <c r="I17" s="323"/>
      <c r="J17" s="323"/>
      <c r="K17" s="324" t="s">
        <v>26</v>
      </c>
      <c r="L17" s="324" t="s">
        <v>26</v>
      </c>
      <c r="M17" s="454">
        <v>34212</v>
      </c>
      <c r="N17" s="368"/>
      <c r="O17" s="354"/>
      <c r="P17" s="370"/>
      <c r="Q17" s="323">
        <f>'[2]72 France'!M10/'[2]72 France'!L10</f>
        <v>-1.1879859652530565E+114</v>
      </c>
      <c r="R17" s="323"/>
      <c r="S17"/>
      <c r="T17"/>
      <c r="U17" s="323"/>
      <c r="V17" s="323"/>
      <c r="W17" s="324" t="s">
        <v>26</v>
      </c>
      <c r="X17" s="324" t="s">
        <v>26</v>
      </c>
      <c r="Y17" s="454">
        <v>34212</v>
      </c>
      <c r="Z17" s="368" t="s">
        <v>23</v>
      </c>
      <c r="AA17" s="354">
        <v>1</v>
      </c>
      <c r="AB17" s="449">
        <f>'[2]72 France'!J10/'[2]72 France'!H10</f>
        <v>4.6810578728948133E-300</v>
      </c>
      <c r="AC17" s="323">
        <f>'[2]72 France'!J10/'[2]72 France'!I10</f>
        <v>2.2399337887445178E-300</v>
      </c>
      <c r="AD17" s="323"/>
      <c r="AE17" s="323"/>
      <c r="AF17" s="450" t="s">
        <v>33</v>
      </c>
      <c r="AG17" s="328" t="s">
        <v>33</v>
      </c>
      <c r="AH17" s="354">
        <v>0</v>
      </c>
      <c r="AI17" s="370" t="s">
        <v>48</v>
      </c>
      <c r="AJ17" s="371"/>
      <c r="AK17" s="371" t="s">
        <v>28</v>
      </c>
      <c r="AL17" s="323"/>
      <c r="AM17" s="323"/>
      <c r="AN17" s="324"/>
      <c r="AO17" s="324"/>
      <c r="AP17" s="324"/>
      <c r="AQ17" s="354">
        <v>2</v>
      </c>
      <c r="AR17" s="353" t="s">
        <v>48</v>
      </c>
      <c r="AS17" s="323" t="s">
        <v>28</v>
      </c>
      <c r="AT17" s="323" t="s">
        <v>25</v>
      </c>
      <c r="AU17" s="323"/>
      <c r="AV17" s="324" t="s">
        <v>25</v>
      </c>
      <c r="AW17" s="354" t="s">
        <v>25</v>
      </c>
    </row>
    <row r="18" spans="1:49">
      <c r="A18" s="471" t="str">
        <f>IF('[2]73 Express'!AF$8&lt;&gt;0,"Yes","No")</f>
        <v>Yes</v>
      </c>
      <c r="B18" s="471" t="str">
        <f>IF('[2]73 Express'!AG$8&lt;&gt;0,"Yes","No")</f>
        <v>Yes</v>
      </c>
      <c r="C18" s="463" t="s">
        <v>29</v>
      </c>
      <c r="D18" s="463" t="s">
        <v>44</v>
      </c>
      <c r="E18" s="464" t="s">
        <v>46</v>
      </c>
      <c r="F18" s="436" t="s">
        <v>50</v>
      </c>
      <c r="G18" s="353">
        <f>'[2]73 Express'!P$22/'[2]73 Express'!N$22</f>
        <v>1.0922995832164228E-252</v>
      </c>
      <c r="H18" s="323">
        <f>'[2]73 Express'!P$22/'[2]73 Express'!O$22</f>
        <v>3.0606122001419689E+59</v>
      </c>
      <c r="I18" s="366"/>
      <c r="J18" s="323"/>
      <c r="K18" s="368"/>
      <c r="L18" s="368"/>
      <c r="M18" s="454">
        <v>34120</v>
      </c>
      <c r="N18" s="368"/>
      <c r="O18" s="390"/>
      <c r="P18" s="353" t="e">
        <f>'[2]73 Express'!M$22/'[2]73 Express'!K$22</f>
        <v>#DIV/0!</v>
      </c>
      <c r="Q18" s="323">
        <f>'[2]73 Express'!M$22/'[2]73 Express'!L$22</f>
        <v>-1.1879859652530565E+114</v>
      </c>
      <c r="R18" s="323"/>
      <c r="S18"/>
      <c r="T18"/>
      <c r="U18" s="366"/>
      <c r="V18" s="323"/>
      <c r="W18" s="368"/>
      <c r="X18" s="368"/>
      <c r="Y18" s="454">
        <v>34120</v>
      </c>
      <c r="Z18" s="368">
        <v>1</v>
      </c>
      <c r="AA18" s="390" t="s">
        <v>23</v>
      </c>
      <c r="AB18" s="353">
        <f>'[2]73 Express'!J$22/'[2]73 Express'!H$22</f>
        <v>4.6810578728948133E-300</v>
      </c>
      <c r="AC18" s="323">
        <f>'[2]73 Express'!J$22/'[2]73 Express'!I$22</f>
        <v>2.2399337887445178E-300</v>
      </c>
      <c r="AD18" s="366"/>
      <c r="AE18" s="323"/>
      <c r="AF18" s="368"/>
      <c r="AG18" s="368"/>
      <c r="AH18" s="390">
        <v>1</v>
      </c>
      <c r="AI18" s="353">
        <f>'[2]73 Express'!G$22/'[2]73 Express'!E$22</f>
        <v>0</v>
      </c>
      <c r="AJ18" s="323"/>
      <c r="AK18" s="323">
        <f>'[2]73 Express'!G$22/'[2]73 Express'!F$22</f>
        <v>0</v>
      </c>
      <c r="AL18" s="366" t="str">
        <f>IF(AI18&gt;=1,"YES","NO")</f>
        <v>NO</v>
      </c>
      <c r="AM18" s="323"/>
      <c r="AN18" s="368" t="s">
        <v>26</v>
      </c>
      <c r="AO18" s="368" t="s">
        <v>26</v>
      </c>
      <c r="AP18" s="368"/>
      <c r="AQ18" s="390">
        <v>0</v>
      </c>
      <c r="AR18" s="353">
        <f>'[2]73 Express'!$D$22/'[2]73 Express'!$B$22</f>
        <v>3.8498435751833073E+193</v>
      </c>
      <c r="AS18" s="323">
        <f>'[2]73 Express'!$D$22/'[2]73 Express'!$C$22</f>
        <v>6.9021981123459598E+192</v>
      </c>
      <c r="AT18" s="327" t="s">
        <v>26</v>
      </c>
      <c r="AU18" s="323"/>
      <c r="AV18" s="328" t="s">
        <v>26</v>
      </c>
      <c r="AW18" s="354" t="s">
        <v>26</v>
      </c>
    </row>
    <row r="19" spans="1:49">
      <c r="A19" s="472" t="str">
        <f>IF('[2]70 Core'!AF$8&lt;&gt;0,"Yes","No")</f>
        <v>Yes</v>
      </c>
      <c r="B19" s="472" t="str">
        <f>IF('[2]70 Core'!AG$8&lt;&gt;0,"Yes","No")</f>
        <v>Yes</v>
      </c>
      <c r="C19" s="465" t="s">
        <v>51</v>
      </c>
      <c r="D19" s="465" t="s">
        <v>52</v>
      </c>
      <c r="E19" s="466" t="s">
        <v>53</v>
      </c>
      <c r="F19" s="439" t="s">
        <v>54</v>
      </c>
      <c r="G19" s="360"/>
      <c r="H19" s="330"/>
      <c r="I19" s="330"/>
      <c r="J19" s="330"/>
      <c r="K19" s="329"/>
      <c r="L19" s="329"/>
      <c r="M19" s="454"/>
      <c r="N19" s="329"/>
      <c r="O19" s="359"/>
      <c r="P19" s="360"/>
      <c r="Q19" s="330"/>
      <c r="R19" s="330"/>
      <c r="S19"/>
      <c r="T19"/>
      <c r="U19" s="330"/>
      <c r="V19" s="330"/>
      <c r="W19" s="329"/>
      <c r="X19" s="329"/>
      <c r="Y19" s="454"/>
      <c r="Z19" s="329"/>
      <c r="AA19" s="359">
        <v>0</v>
      </c>
      <c r="AB19" s="360" t="s">
        <v>39</v>
      </c>
      <c r="AC19" s="330"/>
      <c r="AD19" s="330"/>
      <c r="AE19" s="330"/>
      <c r="AF19" s="329"/>
      <c r="AG19" s="329"/>
      <c r="AH19" s="359">
        <v>0</v>
      </c>
      <c r="AI19" s="360" t="s">
        <v>39</v>
      </c>
      <c r="AJ19" s="330"/>
      <c r="AK19" s="330"/>
      <c r="AL19" s="330"/>
      <c r="AM19" s="330"/>
      <c r="AN19" s="329"/>
      <c r="AO19" s="329"/>
      <c r="AP19" s="329"/>
      <c r="AQ19" s="359">
        <v>0</v>
      </c>
      <c r="AR19" s="360" t="s">
        <v>48</v>
      </c>
      <c r="AS19" s="330" t="s">
        <v>48</v>
      </c>
      <c r="AT19" s="330" t="s">
        <v>25</v>
      </c>
      <c r="AU19" s="330"/>
      <c r="AV19" s="329" t="s">
        <v>25</v>
      </c>
      <c r="AW19" s="359" t="s">
        <v>25</v>
      </c>
    </row>
    <row r="20" spans="1:49" ht="14" thickBot="1">
      <c r="A20" s="471"/>
      <c r="B20" s="471"/>
      <c r="C20" s="467"/>
      <c r="D20" s="467"/>
      <c r="E20" s="464"/>
      <c r="F20" s="436"/>
      <c r="G20" s="353"/>
      <c r="H20" s="323"/>
      <c r="I20" s="323"/>
      <c r="J20" s="323"/>
      <c r="K20" s="323"/>
      <c r="L20" s="324"/>
      <c r="M20" s="455"/>
      <c r="N20" s="324"/>
      <c r="O20" s="354"/>
      <c r="P20" s="353"/>
      <c r="Q20" s="323"/>
      <c r="R20" s="323"/>
      <c r="S20"/>
      <c r="T20"/>
      <c r="U20" s="323"/>
      <c r="V20" s="323"/>
      <c r="W20" s="323"/>
      <c r="X20" s="324"/>
      <c r="Y20" s="455"/>
      <c r="Z20" s="324"/>
      <c r="AA20" s="354"/>
      <c r="AB20" s="353"/>
      <c r="AC20" s="323"/>
      <c r="AD20" s="323"/>
      <c r="AE20" s="323"/>
      <c r="AF20" s="324"/>
      <c r="AG20" s="324"/>
      <c r="AH20" s="354"/>
      <c r="AI20" s="353"/>
      <c r="AJ20" s="323"/>
      <c r="AK20" s="323"/>
      <c r="AL20" s="323"/>
      <c r="AM20" s="323"/>
      <c r="AN20" s="324"/>
      <c r="AO20" s="324"/>
      <c r="AP20" s="324"/>
      <c r="AQ20" s="354"/>
      <c r="AR20" s="353"/>
      <c r="AS20" s="323"/>
      <c r="AT20" s="323"/>
      <c r="AU20" s="323"/>
      <c r="AV20" s="324"/>
      <c r="AW20" s="354"/>
    </row>
    <row r="21" spans="1:49" ht="14" thickBot="1">
      <c r="A21" s="470" t="str">
        <f>IF(Process!AG10&lt;&gt;0,"Yes","No")</f>
        <v>Yes</v>
      </c>
      <c r="B21" s="470" t="str">
        <f>IF(Process!AH10&lt;&gt;0,"Yes","No")</f>
        <v>Yes</v>
      </c>
      <c r="C21" s="461" t="s">
        <v>29</v>
      </c>
      <c r="D21" s="461" t="s">
        <v>55</v>
      </c>
      <c r="E21" s="462" t="s">
        <v>43</v>
      </c>
      <c r="F21" s="438" t="s">
        <v>56</v>
      </c>
      <c r="G21" s="355"/>
      <c r="H21" s="325"/>
      <c r="I21" s="325"/>
      <c r="J21" s="325"/>
      <c r="K21" s="325"/>
      <c r="L21" s="326"/>
      <c r="M21" s="455">
        <v>34212</v>
      </c>
      <c r="N21" s="326"/>
      <c r="O21" s="512">
        <v>2</v>
      </c>
      <c r="P21" s="355" t="s">
        <v>28</v>
      </c>
      <c r="Q21" s="325" t="s">
        <v>28</v>
      </c>
      <c r="R21" s="325"/>
      <c r="S21"/>
      <c r="T21"/>
      <c r="U21" s="325"/>
      <c r="V21" s="325"/>
      <c r="W21" s="325"/>
      <c r="X21" s="326"/>
      <c r="Y21" s="455">
        <v>34212</v>
      </c>
      <c r="Z21" s="326" t="s">
        <v>23</v>
      </c>
      <c r="AA21" s="356">
        <v>1</v>
      </c>
      <c r="AB21" s="369" t="s">
        <v>35</v>
      </c>
      <c r="AC21" s="449">
        <f>Process!J22/Process!I22</f>
        <v>2.1803703703703703</v>
      </c>
      <c r="AD21" s="325" t="str">
        <f>IF(AB21&gt;=1,"YES","NO")</f>
        <v>YES</v>
      </c>
      <c r="AE21" s="325"/>
      <c r="AF21" s="450" t="s">
        <v>33</v>
      </c>
      <c r="AG21" s="326" t="s">
        <v>33</v>
      </c>
      <c r="AH21" s="356">
        <v>0</v>
      </c>
      <c r="AI21" s="369" t="s">
        <v>35</v>
      </c>
      <c r="AJ21" s="388"/>
      <c r="AK21" s="325">
        <f>Process!G22/Process!F22</f>
        <v>-0.16460595238095221</v>
      </c>
      <c r="AL21" s="325" t="str">
        <f>IF(AI21&gt;=1,"YES","NO")</f>
        <v>YES</v>
      </c>
      <c r="AM21" s="325"/>
      <c r="AN21" s="326"/>
      <c r="AO21" s="326"/>
      <c r="AP21" s="326"/>
      <c r="AQ21" s="356">
        <v>0</v>
      </c>
      <c r="AR21" s="355" t="s">
        <v>28</v>
      </c>
      <c r="AS21" s="325" t="s">
        <v>28</v>
      </c>
      <c r="AT21" s="325"/>
      <c r="AU21" s="325"/>
      <c r="AV21" s="326" t="s">
        <v>25</v>
      </c>
      <c r="AW21" s="356" t="s">
        <v>25</v>
      </c>
    </row>
    <row r="22" spans="1:49" ht="12" customHeight="1">
      <c r="A22" s="471"/>
      <c r="B22" s="471"/>
      <c r="C22" s="467"/>
      <c r="D22" s="467"/>
      <c r="E22" s="464"/>
      <c r="F22" s="436"/>
      <c r="G22" s="353"/>
      <c r="H22" s="323"/>
      <c r="I22" s="323"/>
      <c r="J22" s="323"/>
      <c r="K22" s="324"/>
      <c r="L22" s="324"/>
      <c r="M22" s="455"/>
      <c r="N22" s="324"/>
      <c r="O22" s="354"/>
      <c r="P22" s="353"/>
      <c r="Q22" s="323"/>
      <c r="R22" s="323"/>
      <c r="S22"/>
      <c r="T22"/>
      <c r="U22" s="323"/>
      <c r="V22" s="323"/>
      <c r="W22" s="324"/>
      <c r="X22" s="324"/>
      <c r="Y22" s="455"/>
      <c r="Z22" s="324"/>
      <c r="AA22" s="354"/>
      <c r="AB22" s="353"/>
      <c r="AC22" s="323"/>
      <c r="AD22" s="323"/>
      <c r="AE22" s="323"/>
      <c r="AF22" s="324"/>
      <c r="AG22" s="324"/>
      <c r="AH22" s="354"/>
      <c r="AI22" s="353"/>
      <c r="AJ22" s="323"/>
      <c r="AK22" s="323"/>
      <c r="AL22" s="323"/>
      <c r="AM22" s="323"/>
      <c r="AN22" s="324"/>
      <c r="AO22" s="324"/>
      <c r="AP22" s="324"/>
      <c r="AQ22" s="354"/>
      <c r="AR22" s="353"/>
      <c r="AS22" s="323"/>
      <c r="AT22" s="323"/>
      <c r="AU22" s="323"/>
      <c r="AV22" s="324"/>
      <c r="AW22" s="354"/>
    </row>
    <row r="23" spans="1:49" hidden="1">
      <c r="A23" s="470"/>
      <c r="B23" s="470"/>
      <c r="C23" s="461"/>
      <c r="D23" s="461"/>
      <c r="E23" s="462"/>
      <c r="F23" s="438" t="s">
        <v>57</v>
      </c>
      <c r="G23" s="355" t="s">
        <v>58</v>
      </c>
      <c r="H23" s="325" t="s">
        <v>58</v>
      </c>
      <c r="I23" s="325"/>
      <c r="J23" s="325"/>
      <c r="K23" s="326" t="s">
        <v>25</v>
      </c>
      <c r="L23" s="326"/>
      <c r="M23" s="455"/>
      <c r="N23" s="326"/>
      <c r="O23" s="356"/>
      <c r="P23" s="355" t="s">
        <v>58</v>
      </c>
      <c r="Q23" s="325" t="s">
        <v>58</v>
      </c>
      <c r="R23" s="325"/>
      <c r="S23"/>
      <c r="T23"/>
      <c r="U23" s="325"/>
      <c r="V23" s="325"/>
      <c r="W23" s="326" t="s">
        <v>25</v>
      </c>
      <c r="X23" s="326"/>
      <c r="Y23" s="455"/>
      <c r="Z23" s="326"/>
      <c r="AA23" s="356"/>
      <c r="AB23" s="355" t="s">
        <v>58</v>
      </c>
      <c r="AC23" s="325" t="s">
        <v>58</v>
      </c>
      <c r="AD23" s="325"/>
      <c r="AE23" s="325"/>
      <c r="AF23" s="326" t="s">
        <v>25</v>
      </c>
      <c r="AG23" s="326"/>
      <c r="AH23" s="356"/>
      <c r="AI23" s="355" t="s">
        <v>58</v>
      </c>
      <c r="AJ23" s="325"/>
      <c r="AK23" s="325" t="s">
        <v>58</v>
      </c>
      <c r="AL23" s="325"/>
      <c r="AM23" s="325"/>
      <c r="AN23" s="326" t="s">
        <v>25</v>
      </c>
      <c r="AO23" s="326"/>
      <c r="AP23" s="326"/>
      <c r="AQ23" s="356"/>
      <c r="AR23" s="355" t="s">
        <v>58</v>
      </c>
      <c r="AS23" s="325" t="s">
        <v>58</v>
      </c>
      <c r="AT23" s="325"/>
      <c r="AU23" s="325"/>
      <c r="AV23" s="326" t="s">
        <v>25</v>
      </c>
      <c r="AW23" s="356" t="s">
        <v>25</v>
      </c>
    </row>
    <row r="24" spans="1:49" hidden="1">
      <c r="A24" s="471"/>
      <c r="B24" s="471"/>
      <c r="C24" s="467"/>
      <c r="D24" s="467"/>
      <c r="E24" s="464"/>
      <c r="F24" s="436"/>
      <c r="G24" s="353"/>
      <c r="H24" s="323"/>
      <c r="I24" s="323"/>
      <c r="J24" s="323"/>
      <c r="K24" s="324"/>
      <c r="L24" s="324"/>
      <c r="M24" s="455"/>
      <c r="N24" s="324"/>
      <c r="O24" s="354"/>
      <c r="P24" s="353"/>
      <c r="Q24" s="323"/>
      <c r="R24" s="323"/>
      <c r="S24"/>
      <c r="T24"/>
      <c r="U24" s="323"/>
      <c r="V24" s="323"/>
      <c r="W24" s="324"/>
      <c r="X24" s="324"/>
      <c r="Y24" s="455"/>
      <c r="Z24" s="324"/>
      <c r="AA24" s="354"/>
      <c r="AB24" s="353"/>
      <c r="AC24" s="323"/>
      <c r="AD24" s="323"/>
      <c r="AE24" s="323"/>
      <c r="AF24" s="324"/>
      <c r="AG24" s="324"/>
      <c r="AH24" s="354"/>
      <c r="AI24" s="353"/>
      <c r="AJ24" s="323"/>
      <c r="AK24" s="323"/>
      <c r="AL24" s="323"/>
      <c r="AM24" s="323"/>
      <c r="AN24" s="324"/>
      <c r="AO24" s="324"/>
      <c r="AP24" s="324"/>
      <c r="AQ24" s="354"/>
      <c r="AR24" s="353"/>
      <c r="AS24" s="323"/>
      <c r="AT24" s="323"/>
      <c r="AU24" s="323"/>
      <c r="AV24" s="324"/>
      <c r="AW24" s="354"/>
    </row>
    <row r="25" spans="1:49">
      <c r="A25" s="470"/>
      <c r="B25" s="470"/>
      <c r="C25" s="461"/>
      <c r="D25" s="461"/>
      <c r="E25" s="462"/>
      <c r="F25" s="479" t="s">
        <v>59</v>
      </c>
      <c r="G25" s="355">
        <f>(CAE!P20+CAE!P23)/(CAE!N20+CAE!N23)</f>
        <v>1.0541931692743032</v>
      </c>
      <c r="H25" s="325">
        <f>(CAE!P20+CAE!P23)/(CAE!O20+CAE!O23)</f>
        <v>1.1805457928550658</v>
      </c>
      <c r="I25" s="325"/>
      <c r="J25" s="325"/>
      <c r="K25" s="326"/>
      <c r="L25" s="326"/>
      <c r="M25" s="455"/>
      <c r="N25" s="326"/>
      <c r="O25" s="356"/>
      <c r="P25" s="355">
        <f>(CAE!M20+CAE!M23)/(CAE!K20+CAE!K23)</f>
        <v>0.97569644303066716</v>
      </c>
      <c r="Q25" s="325">
        <f>(CAE!M20+CAE!M23)/(CAE!L20+CAE!L23)</f>
        <v>1.0516267507098989</v>
      </c>
      <c r="R25" s="325"/>
      <c r="S25"/>
      <c r="T25"/>
      <c r="U25" s="325"/>
      <c r="V25" s="325"/>
      <c r="W25" s="326"/>
      <c r="X25" s="326"/>
      <c r="Y25" s="455"/>
      <c r="Z25" s="326"/>
      <c r="AA25" s="356"/>
      <c r="AB25" s="355">
        <f>(CAE!J20+CAE!J23)/(CAE!H20+CAE!H23)</f>
        <v>0.98472104132891003</v>
      </c>
      <c r="AC25" s="325">
        <f>(CAE!J20+CAE!J23)/(CAE!I20+CAE!I23)</f>
        <v>1.0584835000006927</v>
      </c>
      <c r="AD25" s="325"/>
      <c r="AE25" s="325"/>
      <c r="AF25" s="326"/>
      <c r="AG25" s="326"/>
      <c r="AH25" s="356"/>
      <c r="AI25" s="355">
        <f>(CAE!G20+CAE!G23)/(CAE!E20+CAE!E23)</f>
        <v>0.52854368368620097</v>
      </c>
      <c r="AJ25" s="325" t="s">
        <v>60</v>
      </c>
      <c r="AK25" s="325">
        <f>(CAE!G20+CAE!G23)/(CAE!F20+CAE!F23)</f>
        <v>0.54981497318670713</v>
      </c>
      <c r="AL25" s="325" t="str">
        <f>IF(AI25&gt;=1,"YES","NO")</f>
        <v>NO</v>
      </c>
      <c r="AM25" s="325"/>
      <c r="AN25" s="326"/>
      <c r="AO25" s="326"/>
      <c r="AP25" s="326"/>
      <c r="AQ25" s="356"/>
      <c r="AR25" s="355"/>
      <c r="AS25" s="325"/>
      <c r="AT25" s="325"/>
      <c r="AU25" s="325"/>
      <c r="AV25" s="326"/>
      <c r="AW25" s="356"/>
    </row>
    <row r="26" spans="1:49">
      <c r="A26" s="471" t="str">
        <f>IF(Admin!AG19&gt;1,"Yes","No")</f>
        <v>Yes</v>
      </c>
      <c r="B26" s="471" t="str">
        <f>IF(Admin!AH19&gt;1,"Yes","No")</f>
        <v>Yes</v>
      </c>
      <c r="C26" s="486" t="s">
        <v>53</v>
      </c>
      <c r="D26" s="486" t="s">
        <v>53</v>
      </c>
      <c r="E26" s="487" t="s">
        <v>53</v>
      </c>
      <c r="F26" s="436" t="s">
        <v>61</v>
      </c>
      <c r="G26" s="353"/>
      <c r="H26" s="323"/>
      <c r="I26" s="323" t="s">
        <v>26</v>
      </c>
      <c r="J26" s="323" t="s">
        <v>26</v>
      </c>
      <c r="K26" s="323" t="s">
        <v>62</v>
      </c>
      <c r="L26" s="323" t="s">
        <v>41</v>
      </c>
      <c r="M26" s="454"/>
      <c r="N26" s="323"/>
      <c r="O26" s="354">
        <v>0</v>
      </c>
      <c r="P26" s="353"/>
      <c r="Q26" s="323"/>
      <c r="R26" s="323"/>
      <c r="S26"/>
      <c r="T26"/>
      <c r="U26" s="323" t="s">
        <v>26</v>
      </c>
      <c r="V26" s="323" t="s">
        <v>26</v>
      </c>
      <c r="W26" s="323" t="s">
        <v>62</v>
      </c>
      <c r="X26" s="323" t="s">
        <v>41</v>
      </c>
      <c r="Y26" s="454"/>
      <c r="Z26" s="323"/>
      <c r="AA26" s="354">
        <v>0</v>
      </c>
      <c r="AB26" s="353"/>
      <c r="AC26" s="323"/>
      <c r="AD26" s="323" t="s">
        <v>26</v>
      </c>
      <c r="AE26" s="323" t="s">
        <v>26</v>
      </c>
      <c r="AF26" s="323" t="s">
        <v>62</v>
      </c>
      <c r="AG26" s="323" t="s">
        <v>41</v>
      </c>
      <c r="AH26" s="354">
        <v>0</v>
      </c>
      <c r="AI26" s="353"/>
      <c r="AJ26" s="323"/>
      <c r="AK26" s="323"/>
      <c r="AL26" s="323" t="s">
        <v>26</v>
      </c>
      <c r="AM26" s="323" t="s">
        <v>26</v>
      </c>
      <c r="AN26" s="323" t="s">
        <v>26</v>
      </c>
      <c r="AO26" s="323"/>
      <c r="AP26" s="323"/>
      <c r="AQ26" s="354">
        <v>0</v>
      </c>
      <c r="AR26" s="353" t="s">
        <v>58</v>
      </c>
      <c r="AS26" s="323" t="s">
        <v>58</v>
      </c>
      <c r="AT26" s="323"/>
      <c r="AU26" s="323"/>
      <c r="AV26" s="324" t="s">
        <v>25</v>
      </c>
      <c r="AW26" s="354"/>
    </row>
    <row r="27" spans="1:49">
      <c r="A27" s="471" t="str">
        <f>IF(Information!AG17&lt;&gt;0,"Yes","No")</f>
        <v>Yes</v>
      </c>
      <c r="B27" s="471" t="str">
        <f>IF(Information!AH17&lt;&gt;0,"Yes","No")</f>
        <v>Yes</v>
      </c>
      <c r="C27" s="486" t="s">
        <v>53</v>
      </c>
      <c r="D27" s="486" t="s">
        <v>53</v>
      </c>
      <c r="E27" s="487" t="s">
        <v>53</v>
      </c>
      <c r="F27" s="436" t="s">
        <v>63</v>
      </c>
      <c r="G27" s="373" t="s">
        <v>58</v>
      </c>
      <c r="H27" s="327"/>
      <c r="I27" s="323" t="s">
        <v>25</v>
      </c>
      <c r="J27" s="323" t="s">
        <v>25</v>
      </c>
      <c r="K27" s="324" t="s">
        <v>62</v>
      </c>
      <c r="L27" s="324" t="s">
        <v>41</v>
      </c>
      <c r="M27" s="454"/>
      <c r="N27" s="324"/>
      <c r="O27" s="390"/>
      <c r="P27" s="373" t="s">
        <v>58</v>
      </c>
      <c r="Q27" s="327"/>
      <c r="R27" s="327"/>
      <c r="S27"/>
      <c r="T27"/>
      <c r="U27" s="323" t="s">
        <v>25</v>
      </c>
      <c r="V27" s="323" t="s">
        <v>25</v>
      </c>
      <c r="W27" s="324" t="s">
        <v>62</v>
      </c>
      <c r="X27" s="324" t="s">
        <v>41</v>
      </c>
      <c r="Y27" s="454"/>
      <c r="Z27" s="324"/>
      <c r="AA27" s="390"/>
      <c r="AB27" s="373" t="s">
        <v>58</v>
      </c>
      <c r="AC27" s="327"/>
      <c r="AD27" s="323" t="s">
        <v>26</v>
      </c>
      <c r="AE27" s="323" t="s">
        <v>26</v>
      </c>
      <c r="AF27" s="324" t="s">
        <v>62</v>
      </c>
      <c r="AG27" s="324" t="s">
        <v>41</v>
      </c>
      <c r="AH27" s="390"/>
      <c r="AI27" s="373" t="s">
        <v>58</v>
      </c>
      <c r="AJ27" s="366"/>
      <c r="AK27" s="327"/>
      <c r="AL27" s="323" t="s">
        <v>26</v>
      </c>
      <c r="AM27" s="323" t="s">
        <v>26</v>
      </c>
      <c r="AN27" s="324"/>
      <c r="AO27" s="324"/>
      <c r="AP27" s="324"/>
      <c r="AQ27" s="390">
        <v>1</v>
      </c>
      <c r="AR27" s="357" t="s">
        <v>64</v>
      </c>
      <c r="AS27" s="327" t="s">
        <v>64</v>
      </c>
      <c r="AT27" s="323"/>
      <c r="AU27" s="323"/>
      <c r="AV27" s="328" t="s">
        <v>26</v>
      </c>
      <c r="AW27" s="354"/>
    </row>
    <row r="28" spans="1:49">
      <c r="A28" s="472" t="str">
        <f>IF(Finance!AG15&lt;&gt;0,"Yes","No")</f>
        <v>Yes</v>
      </c>
      <c r="B28" s="472" t="str">
        <f>IF(Finance!AH15&lt;&gt;0,"Yes","No")</f>
        <v>Yes</v>
      </c>
      <c r="C28" s="488" t="s">
        <v>53</v>
      </c>
      <c r="D28" s="488" t="s">
        <v>53</v>
      </c>
      <c r="E28" s="489" t="s">
        <v>53</v>
      </c>
      <c r="F28" s="439" t="s">
        <v>65</v>
      </c>
      <c r="G28" s="360" t="s">
        <v>58</v>
      </c>
      <c r="H28" s="330"/>
      <c r="I28" s="330" t="s">
        <v>26</v>
      </c>
      <c r="J28" s="330" t="s">
        <v>26</v>
      </c>
      <c r="K28" s="330" t="s">
        <v>62</v>
      </c>
      <c r="L28" s="330" t="s">
        <v>41</v>
      </c>
      <c r="M28" s="454"/>
      <c r="N28" s="330"/>
      <c r="O28" s="359"/>
      <c r="P28" s="360" t="s">
        <v>58</v>
      </c>
      <c r="Q28" s="330"/>
      <c r="R28" s="330"/>
      <c r="S28"/>
      <c r="T28"/>
      <c r="U28" s="330" t="s">
        <v>26</v>
      </c>
      <c r="V28" s="330" t="s">
        <v>26</v>
      </c>
      <c r="W28" s="330" t="s">
        <v>62</v>
      </c>
      <c r="X28" s="330" t="s">
        <v>41</v>
      </c>
      <c r="Y28" s="454"/>
      <c r="Z28" s="330"/>
      <c r="AA28" s="359"/>
      <c r="AB28" s="360" t="s">
        <v>58</v>
      </c>
      <c r="AC28" s="330"/>
      <c r="AD28" s="330" t="s">
        <v>26</v>
      </c>
      <c r="AE28" s="330" t="s">
        <v>26</v>
      </c>
      <c r="AF28" s="330" t="s">
        <v>62</v>
      </c>
      <c r="AG28" s="330" t="s">
        <v>41</v>
      </c>
      <c r="AH28" s="359"/>
      <c r="AI28" s="360" t="s">
        <v>58</v>
      </c>
      <c r="AJ28" s="330"/>
      <c r="AK28" s="330"/>
      <c r="AL28" s="330" t="s">
        <v>26</v>
      </c>
      <c r="AM28" s="330" t="s">
        <v>26</v>
      </c>
      <c r="AN28" s="330"/>
      <c r="AO28" s="330"/>
      <c r="AP28" s="330"/>
      <c r="AQ28" s="359">
        <v>2</v>
      </c>
      <c r="AR28" s="360" t="s">
        <v>58</v>
      </c>
      <c r="AS28" s="330" t="s">
        <v>58</v>
      </c>
      <c r="AT28" s="330"/>
      <c r="AU28" s="330"/>
      <c r="AV28" s="329" t="s">
        <v>25</v>
      </c>
      <c r="AW28" s="359"/>
    </row>
    <row r="29" spans="1:49">
      <c r="A29" s="471"/>
      <c r="B29" s="471"/>
      <c r="C29" s="467"/>
      <c r="D29" s="467"/>
      <c r="E29" s="464"/>
      <c r="F29" s="436"/>
      <c r="G29" s="353"/>
      <c r="H29" s="323"/>
      <c r="I29" s="323"/>
      <c r="J29" s="323"/>
      <c r="K29" s="324"/>
      <c r="L29" s="324"/>
      <c r="M29" s="456"/>
      <c r="N29" s="324"/>
      <c r="O29" s="354"/>
      <c r="P29" s="353"/>
      <c r="Q29" s="323"/>
      <c r="R29" s="323"/>
      <c r="S29" s="323"/>
      <c r="T29" s="323"/>
      <c r="U29" s="323"/>
      <c r="V29" s="323"/>
      <c r="W29" s="324"/>
      <c r="X29" s="324"/>
      <c r="Y29" s="456"/>
      <c r="Z29" s="324"/>
      <c r="AA29" s="354"/>
      <c r="AB29" s="353"/>
      <c r="AC29" s="323"/>
      <c r="AD29" s="323"/>
      <c r="AE29" s="323"/>
      <c r="AF29" s="324"/>
      <c r="AG29" s="324"/>
      <c r="AH29" s="354"/>
      <c r="AI29" s="353"/>
      <c r="AJ29" s="323"/>
      <c r="AK29" s="323"/>
      <c r="AL29" s="323"/>
      <c r="AM29" s="323"/>
      <c r="AN29" s="324"/>
      <c r="AO29" s="324"/>
      <c r="AP29" s="324"/>
      <c r="AQ29" s="354"/>
      <c r="AR29" s="353"/>
      <c r="AS29" s="323"/>
      <c r="AT29" s="323"/>
      <c r="AU29" s="323"/>
      <c r="AV29" s="324"/>
      <c r="AW29" s="354"/>
    </row>
    <row r="30" spans="1:49" ht="14" thickBot="1">
      <c r="A30" s="470" t="str">
        <f>IF('90'!AG23&lt;&gt;0,"Yes","No")</f>
        <v>Yes</v>
      </c>
      <c r="B30" s="470" t="str">
        <f>IF('90'!AH23&lt;&gt;0,"Yes","No")</f>
        <v>Yes</v>
      </c>
      <c r="C30" s="468" t="s">
        <v>55</v>
      </c>
      <c r="D30" s="468" t="s">
        <v>66</v>
      </c>
      <c r="E30" s="469" t="s">
        <v>67</v>
      </c>
      <c r="F30" s="440" t="s">
        <v>68</v>
      </c>
      <c r="G30" s="361"/>
      <c r="H30" s="331"/>
      <c r="I30" s="331"/>
      <c r="J30" s="331"/>
      <c r="K30" s="332"/>
      <c r="L30" s="332"/>
      <c r="M30" s="454"/>
      <c r="N30" s="332"/>
      <c r="O30" s="362"/>
      <c r="P30" s="361"/>
      <c r="Q30" s="331"/>
      <c r="R30" s="331"/>
      <c r="S30" s="331"/>
      <c r="T30" s="331"/>
      <c r="U30" s="331"/>
      <c r="V30" s="331"/>
      <c r="W30" s="332"/>
      <c r="X30" s="332"/>
      <c r="Y30" s="454"/>
      <c r="Z30" s="332"/>
      <c r="AA30" s="362"/>
      <c r="AB30" s="361"/>
      <c r="AC30" s="331"/>
      <c r="AD30" s="331"/>
      <c r="AE30" s="331"/>
      <c r="AF30" s="332"/>
      <c r="AG30" s="332"/>
      <c r="AH30" s="362"/>
      <c r="AI30" s="361" t="s">
        <v>48</v>
      </c>
      <c r="AJ30" s="331"/>
      <c r="AK30" s="331" t="s">
        <v>48</v>
      </c>
      <c r="AL30" s="331"/>
      <c r="AM30" s="331"/>
      <c r="AN30" s="332"/>
      <c r="AO30" s="332"/>
      <c r="AP30" s="332"/>
      <c r="AQ30" s="362">
        <v>2</v>
      </c>
      <c r="AR30" s="361" t="s">
        <v>48</v>
      </c>
      <c r="AS30" s="331" t="s">
        <v>48</v>
      </c>
      <c r="AT30" s="331"/>
      <c r="AU30" s="331"/>
      <c r="AV30" s="332" t="s">
        <v>25</v>
      </c>
      <c r="AW30" s="362"/>
    </row>
    <row r="31" spans="1:49">
      <c r="A31" s="335"/>
      <c r="B31" s="335"/>
      <c r="C31" s="335"/>
      <c r="D31" s="335"/>
      <c r="E31" s="336"/>
      <c r="F31" s="15"/>
      <c r="G31" s="341"/>
      <c r="H31" s="341"/>
      <c r="I31" s="341"/>
      <c r="J31" s="341"/>
      <c r="K31" s="18"/>
      <c r="L31" s="18"/>
      <c r="M31" s="18"/>
      <c r="N31" s="18"/>
      <c r="O31" s="19"/>
      <c r="P31" s="341"/>
      <c r="Q31" s="341"/>
      <c r="R31" s="341"/>
      <c r="S31" s="341"/>
      <c r="T31" s="341"/>
      <c r="U31" s="341"/>
      <c r="V31" s="341"/>
      <c r="W31" s="18"/>
      <c r="X31" s="18"/>
      <c r="Y31" s="18"/>
      <c r="Z31" s="18"/>
      <c r="AA31" s="19"/>
      <c r="AB31" s="341"/>
      <c r="AC31" s="341"/>
      <c r="AD31" s="341"/>
      <c r="AE31" s="341"/>
      <c r="AF31" s="18"/>
      <c r="AG31" s="18"/>
      <c r="AH31" s="19"/>
      <c r="AI31" s="341"/>
      <c r="AJ31" s="341"/>
      <c r="AK31" s="341"/>
      <c r="AL31" s="341"/>
      <c r="AM31" s="341"/>
      <c r="AN31" s="18"/>
      <c r="AO31" s="18"/>
      <c r="AP31" s="18"/>
      <c r="AQ31" s="19"/>
    </row>
    <row r="32" spans="1:49">
      <c r="A32" s="337"/>
      <c r="B32" s="337"/>
      <c r="C32" s="337"/>
      <c r="D32" s="337"/>
      <c r="E32" s="338"/>
      <c r="F32" s="16"/>
      <c r="G32" s="20" t="s">
        <v>35</v>
      </c>
      <c r="H32" s="345" t="s">
        <v>69</v>
      </c>
      <c r="I32" s="342"/>
      <c r="J32" s="342"/>
      <c r="K32" s="20"/>
      <c r="L32" s="20"/>
      <c r="M32" s="20"/>
      <c r="N32" s="20"/>
      <c r="O32" s="21"/>
      <c r="P32" s="20" t="s">
        <v>35</v>
      </c>
      <c r="Q32" s="345" t="s">
        <v>69</v>
      </c>
      <c r="R32" s="345"/>
      <c r="S32" s="345"/>
      <c r="T32" s="345"/>
      <c r="U32" s="342"/>
      <c r="V32" s="342"/>
      <c r="W32" s="20"/>
      <c r="X32" s="20"/>
      <c r="Y32" s="20"/>
      <c r="Z32" s="20"/>
      <c r="AA32" s="21"/>
      <c r="AB32" s="345" t="s">
        <v>69</v>
      </c>
      <c r="AC32" s="342"/>
      <c r="AD32" s="342"/>
      <c r="AE32" s="342"/>
      <c r="AF32" s="20"/>
      <c r="AG32" s="20"/>
      <c r="AH32" s="21"/>
      <c r="AI32" s="345" t="s">
        <v>69</v>
      </c>
      <c r="AJ32" s="345"/>
      <c r="AK32" s="342"/>
      <c r="AL32" s="342"/>
      <c r="AM32" s="342"/>
      <c r="AN32" s="20"/>
      <c r="AO32" s="20"/>
      <c r="AP32" s="20"/>
      <c r="AQ32" s="21"/>
    </row>
    <row r="33" spans="1:46">
      <c r="A33" s="444"/>
      <c r="B33" s="444" t="s">
        <v>70</v>
      </c>
      <c r="C33" s="337" t="s">
        <v>71</v>
      </c>
      <c r="D33" s="337"/>
      <c r="E33" s="338"/>
      <c r="F33" s="16"/>
      <c r="G33" s="20" t="s">
        <v>48</v>
      </c>
      <c r="H33" s="345" t="s">
        <v>72</v>
      </c>
      <c r="I33" s="342"/>
      <c r="J33" s="342"/>
      <c r="K33" s="20"/>
      <c r="L33" s="20"/>
      <c r="M33" s="20"/>
      <c r="N33" s="20"/>
      <c r="O33" s="21"/>
      <c r="P33" s="20" t="s">
        <v>48</v>
      </c>
      <c r="Q33" s="345" t="s">
        <v>72</v>
      </c>
      <c r="R33" s="345"/>
      <c r="S33" s="345"/>
      <c r="T33" s="345"/>
      <c r="U33" s="342"/>
      <c r="V33" s="342"/>
      <c r="W33" s="20"/>
      <c r="X33" s="20"/>
      <c r="Y33" s="20"/>
      <c r="Z33" s="20"/>
      <c r="AA33" s="21"/>
      <c r="AB33" s="345" t="s">
        <v>72</v>
      </c>
      <c r="AC33" s="342"/>
      <c r="AD33" s="342"/>
      <c r="AE33" s="342"/>
      <c r="AF33" s="20"/>
      <c r="AG33" s="20"/>
      <c r="AH33" s="21"/>
      <c r="AI33" s="345" t="s">
        <v>72</v>
      </c>
      <c r="AJ33" s="345"/>
      <c r="AK33" s="342"/>
      <c r="AL33" s="342"/>
      <c r="AM33" s="342"/>
      <c r="AN33" s="20"/>
      <c r="AO33" s="20"/>
      <c r="AP33" s="20"/>
      <c r="AQ33" s="21"/>
      <c r="AR33" s="367" t="s">
        <v>73</v>
      </c>
    </row>
    <row r="34" spans="1:46">
      <c r="A34" s="444"/>
      <c r="B34" s="444" t="s">
        <v>74</v>
      </c>
      <c r="C34" s="337" t="s">
        <v>75</v>
      </c>
      <c r="D34" s="337"/>
      <c r="E34" s="338"/>
      <c r="F34" s="16"/>
      <c r="G34" s="20" t="s">
        <v>28</v>
      </c>
      <c r="H34" s="345" t="s">
        <v>76</v>
      </c>
      <c r="I34" s="342"/>
      <c r="J34" s="342"/>
      <c r="K34" s="20"/>
      <c r="L34" s="20"/>
      <c r="M34" s="20"/>
      <c r="N34" s="20"/>
      <c r="O34" s="21"/>
      <c r="P34" s="20" t="s">
        <v>28</v>
      </c>
      <c r="Q34" s="345" t="s">
        <v>76</v>
      </c>
      <c r="R34" s="345"/>
      <c r="S34" s="345"/>
      <c r="T34" s="345"/>
      <c r="U34" s="342"/>
      <c r="V34" s="342"/>
      <c r="W34" s="20"/>
      <c r="X34" s="20"/>
      <c r="Y34" s="20"/>
      <c r="Z34" s="20"/>
      <c r="AA34" s="21"/>
      <c r="AB34" s="345" t="s">
        <v>76</v>
      </c>
      <c r="AC34" s="342"/>
      <c r="AD34" s="342"/>
      <c r="AE34" s="342"/>
      <c r="AF34" s="20"/>
      <c r="AG34" s="20"/>
      <c r="AH34" s="21"/>
      <c r="AI34" s="345" t="s">
        <v>76</v>
      </c>
      <c r="AJ34" s="345"/>
      <c r="AK34" s="342"/>
      <c r="AL34" s="342"/>
      <c r="AM34" s="342"/>
      <c r="AN34" s="20"/>
      <c r="AO34" s="20"/>
      <c r="AP34" s="20"/>
      <c r="AQ34" s="21"/>
      <c r="AR34" s="343" t="s">
        <v>77</v>
      </c>
      <c r="AS34" s="342"/>
      <c r="AT34" s="342"/>
    </row>
    <row r="35" spans="1:46">
      <c r="A35" s="444"/>
      <c r="B35" s="444" t="s">
        <v>78</v>
      </c>
      <c r="C35" s="337" t="s">
        <v>79</v>
      </c>
      <c r="D35" s="337"/>
      <c r="E35" s="338"/>
      <c r="F35" s="16"/>
      <c r="G35" s="20" t="s">
        <v>39</v>
      </c>
      <c r="H35" s="345" t="s">
        <v>80</v>
      </c>
      <c r="I35" s="342"/>
      <c r="J35" s="342"/>
      <c r="K35" s="20"/>
      <c r="L35" s="20"/>
      <c r="M35" s="20"/>
      <c r="N35" s="20"/>
      <c r="O35" s="21"/>
      <c r="P35" s="20" t="s">
        <v>39</v>
      </c>
      <c r="Q35" s="345" t="s">
        <v>80</v>
      </c>
      <c r="R35" s="345"/>
      <c r="S35" s="345"/>
      <c r="T35" s="345"/>
      <c r="U35" s="342"/>
      <c r="V35" s="342"/>
      <c r="W35" s="20"/>
      <c r="X35" s="20"/>
      <c r="Y35" s="20"/>
      <c r="Z35" s="20"/>
      <c r="AA35" s="21"/>
      <c r="AB35" s="345" t="s">
        <v>80</v>
      </c>
      <c r="AC35" s="342"/>
      <c r="AD35" s="342"/>
      <c r="AE35" s="342"/>
      <c r="AF35" s="20"/>
      <c r="AG35" s="20"/>
      <c r="AH35" s="21"/>
      <c r="AI35" s="345" t="s">
        <v>80</v>
      </c>
      <c r="AJ35" s="345"/>
      <c r="AK35" s="342"/>
      <c r="AL35" s="342"/>
      <c r="AM35" s="342"/>
      <c r="AN35" s="20"/>
      <c r="AO35" s="20"/>
      <c r="AP35" s="20"/>
      <c r="AQ35" s="21"/>
      <c r="AR35" s="343" t="s">
        <v>81</v>
      </c>
      <c r="AS35" s="342"/>
      <c r="AT35" s="342"/>
    </row>
    <row r="36" spans="1:46">
      <c r="A36" s="444"/>
      <c r="B36" s="444" t="s">
        <v>82</v>
      </c>
      <c r="C36" s="337" t="s">
        <v>83</v>
      </c>
      <c r="D36" s="337"/>
      <c r="E36" s="338"/>
      <c r="F36" s="16"/>
      <c r="G36" s="20" t="s">
        <v>58</v>
      </c>
      <c r="H36" s="345" t="s">
        <v>84</v>
      </c>
      <c r="I36" s="342"/>
      <c r="J36" s="342"/>
      <c r="K36" s="20"/>
      <c r="L36" s="20"/>
      <c r="M36" s="20"/>
      <c r="N36" s="20"/>
      <c r="O36" s="21"/>
      <c r="P36" s="20" t="s">
        <v>58</v>
      </c>
      <c r="Q36" s="345" t="s">
        <v>84</v>
      </c>
      <c r="R36" s="345"/>
      <c r="S36" s="345"/>
      <c r="T36" s="345"/>
      <c r="U36" s="342"/>
      <c r="V36" s="342"/>
      <c r="W36" s="20"/>
      <c r="X36" s="20"/>
      <c r="Y36" s="20"/>
      <c r="Z36" s="20"/>
      <c r="AA36" s="21"/>
      <c r="AB36" s="345" t="s">
        <v>84</v>
      </c>
      <c r="AC36" s="342"/>
      <c r="AD36" s="342"/>
      <c r="AE36" s="342"/>
      <c r="AF36" s="20"/>
      <c r="AG36" s="20"/>
      <c r="AH36" s="21"/>
      <c r="AI36" s="345" t="s">
        <v>84</v>
      </c>
      <c r="AJ36" s="345"/>
      <c r="AK36" s="342"/>
      <c r="AL36" s="342"/>
      <c r="AM36" s="342"/>
      <c r="AN36" s="20"/>
      <c r="AO36" s="20"/>
      <c r="AP36" s="20"/>
      <c r="AQ36" s="21"/>
      <c r="AR36" s="343" t="s">
        <v>85</v>
      </c>
      <c r="AS36" s="342"/>
      <c r="AT36" s="342"/>
    </row>
    <row r="37" spans="1:46">
      <c r="A37" s="444"/>
      <c r="B37" s="444" t="s">
        <v>86</v>
      </c>
      <c r="C37" s="337" t="s">
        <v>87</v>
      </c>
      <c r="D37" s="337"/>
      <c r="E37" s="338"/>
      <c r="F37" s="16"/>
      <c r="G37" s="20" t="s">
        <v>64</v>
      </c>
      <c r="H37" s="345" t="s">
        <v>88</v>
      </c>
      <c r="I37" s="342"/>
      <c r="J37" s="342"/>
      <c r="K37" s="20"/>
      <c r="L37" s="20"/>
      <c r="M37" s="20"/>
      <c r="N37" s="20"/>
      <c r="O37" s="21"/>
      <c r="P37" s="20" t="s">
        <v>64</v>
      </c>
      <c r="Q37" s="345" t="s">
        <v>88</v>
      </c>
      <c r="R37" s="345"/>
      <c r="S37" s="345"/>
      <c r="T37" s="345"/>
      <c r="U37" s="342"/>
      <c r="V37" s="342"/>
      <c r="W37" s="20"/>
      <c r="X37" s="20"/>
      <c r="Y37" s="20"/>
      <c r="Z37" s="20"/>
      <c r="AA37" s="21"/>
      <c r="AB37" s="345" t="s">
        <v>88</v>
      </c>
      <c r="AC37" s="342"/>
      <c r="AD37" s="342"/>
      <c r="AE37" s="342"/>
      <c r="AF37" s="20"/>
      <c r="AG37" s="20"/>
      <c r="AH37" s="21"/>
      <c r="AI37" s="345" t="s">
        <v>88</v>
      </c>
      <c r="AJ37" s="345"/>
      <c r="AK37" s="342"/>
      <c r="AL37" s="342"/>
      <c r="AM37" s="342"/>
      <c r="AN37" s="20"/>
      <c r="AO37" s="20"/>
      <c r="AP37" s="20"/>
      <c r="AQ37" s="21"/>
      <c r="AR37" s="343" t="s">
        <v>89</v>
      </c>
      <c r="AS37" s="342"/>
      <c r="AT37" s="342"/>
    </row>
    <row r="38" spans="1:46">
      <c r="A38" s="444"/>
      <c r="B38" s="444" t="s">
        <v>90</v>
      </c>
      <c r="C38" s="337" t="s">
        <v>91</v>
      </c>
      <c r="D38" s="337"/>
      <c r="E38" s="338"/>
      <c r="F38" s="16"/>
      <c r="G38" s="20" t="s">
        <v>92</v>
      </c>
      <c r="H38" s="345" t="s">
        <v>93</v>
      </c>
      <c r="I38" s="342"/>
      <c r="J38" s="342"/>
      <c r="K38" s="20"/>
      <c r="L38" s="20"/>
      <c r="M38" s="20"/>
      <c r="N38" s="20"/>
      <c r="O38" s="21"/>
      <c r="P38" s="20" t="s">
        <v>92</v>
      </c>
      <c r="Q38" s="345" t="s">
        <v>93</v>
      </c>
      <c r="R38" s="345"/>
      <c r="S38" s="345"/>
      <c r="T38" s="345"/>
      <c r="U38" s="342"/>
      <c r="V38" s="342"/>
      <c r="W38" s="20"/>
      <c r="X38" s="20"/>
      <c r="Y38" s="20"/>
      <c r="Z38" s="20"/>
      <c r="AA38" s="21"/>
      <c r="AB38" s="345" t="s">
        <v>93</v>
      </c>
      <c r="AC38" s="342"/>
      <c r="AD38" s="342"/>
      <c r="AE38" s="342"/>
      <c r="AF38" s="20"/>
      <c r="AG38" s="20"/>
      <c r="AH38" s="21"/>
      <c r="AI38" s="345" t="s">
        <v>93</v>
      </c>
      <c r="AJ38" s="345"/>
      <c r="AK38" s="342"/>
      <c r="AL38" s="342"/>
      <c r="AM38" s="342"/>
      <c r="AN38" s="20"/>
      <c r="AO38" s="20"/>
      <c r="AP38" s="20"/>
      <c r="AQ38" s="21"/>
      <c r="AR38" s="344" t="s">
        <v>94</v>
      </c>
      <c r="AS38" s="342"/>
      <c r="AT38" s="342"/>
    </row>
    <row r="39" spans="1:46">
      <c r="A39" s="444"/>
      <c r="B39" s="444" t="s">
        <v>95</v>
      </c>
      <c r="C39" s="337" t="s">
        <v>96</v>
      </c>
      <c r="D39" s="337"/>
      <c r="E39" s="338"/>
      <c r="F39" s="20"/>
      <c r="G39" s="20"/>
      <c r="H39" s="345" t="s">
        <v>97</v>
      </c>
      <c r="I39" s="342"/>
      <c r="J39" s="342"/>
      <c r="K39" s="20"/>
      <c r="L39" s="20"/>
      <c r="M39" s="20"/>
      <c r="N39" s="20"/>
      <c r="O39" s="21"/>
      <c r="P39" s="20"/>
      <c r="Q39" s="345" t="s">
        <v>97</v>
      </c>
      <c r="R39" s="345"/>
      <c r="S39" s="345"/>
      <c r="T39" s="345"/>
      <c r="U39" s="342"/>
      <c r="V39" s="342"/>
      <c r="W39" s="20"/>
      <c r="X39" s="20"/>
      <c r="Y39" s="20"/>
      <c r="Z39" s="20"/>
      <c r="AA39" s="21"/>
      <c r="AB39" s="345" t="s">
        <v>97</v>
      </c>
      <c r="AC39" s="342"/>
      <c r="AD39" s="342"/>
      <c r="AE39" s="342"/>
      <c r="AF39" s="20"/>
      <c r="AG39" s="20"/>
      <c r="AH39" s="21"/>
      <c r="AI39" s="345" t="s">
        <v>97</v>
      </c>
      <c r="AJ39" s="345"/>
      <c r="AK39" s="342"/>
      <c r="AL39" s="342"/>
      <c r="AM39" s="342"/>
      <c r="AN39" s="20"/>
      <c r="AO39" s="20"/>
      <c r="AP39" s="20"/>
      <c r="AQ39" s="21"/>
      <c r="AR39" s="344" t="s">
        <v>98</v>
      </c>
      <c r="AS39" s="342"/>
      <c r="AT39" s="342"/>
    </row>
    <row r="40" spans="1:46">
      <c r="A40" s="337"/>
      <c r="B40" s="337"/>
      <c r="C40" s="337"/>
      <c r="D40" s="337"/>
      <c r="E40" s="338"/>
      <c r="F40" s="20"/>
      <c r="G40" s="20" t="s">
        <v>36</v>
      </c>
      <c r="H40" s="345" t="s">
        <v>99</v>
      </c>
      <c r="I40" s="342"/>
      <c r="J40" s="342"/>
      <c r="K40" s="20"/>
      <c r="L40" s="20"/>
      <c r="M40" s="20"/>
      <c r="N40" s="20"/>
      <c r="O40" s="21"/>
      <c r="P40" s="20" t="s">
        <v>36</v>
      </c>
      <c r="Q40" s="345" t="s">
        <v>99</v>
      </c>
      <c r="R40" s="345"/>
      <c r="S40" s="345"/>
      <c r="T40" s="345"/>
      <c r="U40" s="342"/>
      <c r="V40" s="342"/>
      <c r="W40" s="20"/>
      <c r="X40" s="20"/>
      <c r="Y40" s="20"/>
      <c r="Z40" s="20"/>
      <c r="AA40" s="21"/>
      <c r="AB40" s="345" t="s">
        <v>99</v>
      </c>
      <c r="AC40" s="342"/>
      <c r="AD40" s="342"/>
      <c r="AE40" s="342"/>
      <c r="AF40" s="20"/>
      <c r="AG40" s="20"/>
      <c r="AH40" s="21"/>
      <c r="AI40" s="345" t="s">
        <v>99</v>
      </c>
      <c r="AJ40" s="345"/>
      <c r="AK40" s="342"/>
      <c r="AL40" s="342"/>
      <c r="AM40" s="342"/>
      <c r="AN40" s="20"/>
      <c r="AO40" s="20"/>
      <c r="AP40" s="20"/>
      <c r="AQ40" s="21"/>
    </row>
    <row r="41" spans="1:46">
      <c r="A41" s="337"/>
      <c r="B41" s="337"/>
      <c r="C41" s="337"/>
      <c r="D41" s="337"/>
      <c r="E41" s="338"/>
      <c r="F41" s="20"/>
      <c r="G41" s="20" t="s">
        <v>100</v>
      </c>
      <c r="H41" s="345" t="s">
        <v>101</v>
      </c>
      <c r="I41" s="342"/>
      <c r="J41" s="342"/>
      <c r="K41" s="20"/>
      <c r="L41" s="20"/>
      <c r="M41" s="20"/>
      <c r="N41" s="20"/>
      <c r="O41" s="21"/>
      <c r="P41" s="20" t="s">
        <v>100</v>
      </c>
      <c r="Q41" s="345" t="s">
        <v>101</v>
      </c>
      <c r="R41" s="345"/>
      <c r="S41" s="345"/>
      <c r="T41" s="345"/>
      <c r="U41" s="342"/>
      <c r="V41" s="342"/>
      <c r="W41" s="20"/>
      <c r="X41" s="20"/>
      <c r="Y41" s="20"/>
      <c r="Z41" s="20"/>
      <c r="AA41" s="21"/>
      <c r="AB41" s="342"/>
      <c r="AC41" s="342"/>
      <c r="AD41" s="342"/>
      <c r="AE41" s="342"/>
      <c r="AF41" s="20"/>
      <c r="AG41" s="20"/>
      <c r="AH41" s="21"/>
      <c r="AI41" s="342"/>
      <c r="AJ41" s="342"/>
      <c r="AK41" s="342"/>
      <c r="AL41" s="342"/>
      <c r="AM41" s="342"/>
      <c r="AN41" s="20"/>
      <c r="AO41" s="20"/>
      <c r="AP41" s="20"/>
      <c r="AQ41" s="21"/>
    </row>
    <row r="42" spans="1:46">
      <c r="A42" s="337"/>
      <c r="B42" s="337"/>
      <c r="C42" s="337"/>
      <c r="D42" s="337"/>
      <c r="E42" s="338"/>
      <c r="F42" s="20" t="s">
        <v>60</v>
      </c>
      <c r="G42" s="20" t="s">
        <v>60</v>
      </c>
      <c r="H42" s="345" t="s">
        <v>102</v>
      </c>
      <c r="I42" s="342"/>
      <c r="J42" s="342"/>
      <c r="K42" s="20"/>
      <c r="L42" s="20"/>
      <c r="M42" s="20"/>
      <c r="N42" s="20"/>
      <c r="O42" s="21"/>
      <c r="P42" s="20" t="s">
        <v>60</v>
      </c>
      <c r="Q42" s="345" t="s">
        <v>102</v>
      </c>
      <c r="R42" s="345"/>
      <c r="S42" s="345"/>
      <c r="T42" s="345"/>
      <c r="U42" s="342"/>
      <c r="V42" s="342"/>
      <c r="W42" s="20"/>
      <c r="X42" s="20"/>
      <c r="Y42" s="20"/>
      <c r="Z42" s="20"/>
      <c r="AA42" s="21"/>
      <c r="AB42" s="345" t="s">
        <v>102</v>
      </c>
      <c r="AC42" s="342"/>
      <c r="AD42" s="342"/>
      <c r="AE42" s="342"/>
      <c r="AF42" s="20"/>
      <c r="AG42" s="20"/>
      <c r="AH42" s="21"/>
      <c r="AI42" s="345" t="s">
        <v>102</v>
      </c>
      <c r="AJ42" s="342"/>
      <c r="AK42" s="342"/>
      <c r="AL42" s="342"/>
      <c r="AM42" s="342"/>
      <c r="AN42" s="20"/>
      <c r="AO42" s="20"/>
      <c r="AP42" s="20"/>
      <c r="AQ42" s="21"/>
    </row>
    <row r="43" spans="1:46" ht="14" thickBot="1">
      <c r="A43" s="339"/>
      <c r="B43" s="339"/>
      <c r="C43" s="339"/>
      <c r="D43" s="339"/>
      <c r="E43" s="340"/>
      <c r="F43" s="391"/>
      <c r="G43" s="392"/>
      <c r="H43" s="392"/>
      <c r="I43" s="392"/>
      <c r="J43" s="392"/>
      <c r="K43" s="391"/>
      <c r="L43" s="391"/>
      <c r="M43" s="391"/>
      <c r="N43" s="391"/>
      <c r="O43" s="393"/>
      <c r="P43" s="392"/>
      <c r="Q43" s="392"/>
      <c r="R43" s="392"/>
      <c r="S43" s="392"/>
      <c r="T43" s="392"/>
      <c r="U43" s="392"/>
      <c r="V43" s="392"/>
      <c r="W43" s="391"/>
      <c r="X43" s="391"/>
      <c r="Y43" s="391"/>
      <c r="Z43" s="391"/>
      <c r="AA43" s="393"/>
      <c r="AB43" s="392"/>
      <c r="AC43" s="392"/>
      <c r="AD43" s="392"/>
      <c r="AE43" s="392"/>
      <c r="AF43" s="391"/>
      <c r="AG43" s="391"/>
      <c r="AH43" s="393"/>
      <c r="AI43" s="392"/>
      <c r="AJ43" s="392"/>
      <c r="AK43" s="392"/>
      <c r="AL43" s="392"/>
      <c r="AM43" s="392"/>
      <c r="AN43" s="391"/>
      <c r="AO43" s="391"/>
      <c r="AP43" s="391"/>
      <c r="AQ43" s="393"/>
    </row>
    <row r="50" spans="1:2">
      <c r="A50" s="445"/>
      <c r="B50" s="445"/>
    </row>
  </sheetData>
  <pageMargins left="0.75" right="0.75" top="1" bottom="1" header="0.5" footer="0.5"/>
  <pageSetup paperSize="0" orientation="landscape" horizontalDpi="4294967292" verticalDpi="4294967292"/>
  <headerFooter>
    <oddHeader>&amp;C&amp;A_x000D_of Team Progress</oddHeader>
    <oddFooter>&amp;L&amp;F    &amp;A&amp;C&amp;D&amp;R&amp;T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97"/>
  <sheetViews>
    <sheetView workbookViewId="0">
      <pane xSplit="1" ySplit="4" topLeftCell="L5" activePane="bottomRight" state="frozenSplit"/>
      <selection pane="topRight" activeCell="B1" sqref="B1"/>
      <selection pane="bottomLeft" activeCell="A4" sqref="A4"/>
      <selection pane="bottomRight" activeCell="AA34" sqref="AA34"/>
    </sheetView>
  </sheetViews>
  <sheetFormatPr baseColWidth="10" defaultColWidth="11.42578125" defaultRowHeight="13" x14ac:dyDescent="0"/>
  <cols>
    <col min="1" max="1" width="38.140625" customWidth="1"/>
    <col min="2" max="2" width="9.28515625" customWidth="1"/>
    <col min="3" max="3" width="9.42578125" customWidth="1"/>
    <col min="4" max="4" width="10.85546875" customWidth="1"/>
    <col min="5" max="5" width="9.28515625" customWidth="1"/>
    <col min="6" max="6" width="9.42578125" customWidth="1"/>
    <col min="7" max="7" width="10.85546875" customWidth="1"/>
    <col min="8" max="8" width="9.28515625" customWidth="1"/>
    <col min="9" max="9" width="9.42578125" customWidth="1"/>
    <col min="10" max="11" width="9.28515625" customWidth="1"/>
    <col min="12" max="12" width="10.85546875" customWidth="1"/>
    <col min="13" max="13" width="12.42578125" customWidth="1"/>
    <col min="14" max="14" width="9.28515625" customWidth="1"/>
    <col min="15" max="15" width="10.85546875" customWidth="1"/>
    <col min="16" max="16" width="10.140625" customWidth="1"/>
    <col min="17" max="18" width="11.85546875" customWidth="1"/>
    <col min="19" max="19" width="12.140625" customWidth="1"/>
    <col min="21" max="26" width="11.42578125" style="123"/>
  </cols>
  <sheetData>
    <row r="1" spans="1:36" ht="14" thickBot="1">
      <c r="U1" s="220"/>
      <c r="V1" s="220"/>
      <c r="W1" s="220"/>
      <c r="X1" s="220"/>
      <c r="Y1" s="220"/>
      <c r="Z1" s="220"/>
      <c r="AA1" s="97"/>
      <c r="AB1" s="97"/>
      <c r="AC1" s="97"/>
    </row>
    <row r="2" spans="1:36">
      <c r="A2" s="499">
        <f>M19</f>
        <v>7103.35</v>
      </c>
      <c r="B2" s="15">
        <v>1996</v>
      </c>
      <c r="C2" s="18">
        <v>1996</v>
      </c>
      <c r="D2" s="19">
        <v>1996</v>
      </c>
      <c r="E2" s="15">
        <v>1997</v>
      </c>
      <c r="F2" s="18">
        <v>1997</v>
      </c>
      <c r="G2" s="19">
        <v>1997</v>
      </c>
      <c r="H2" s="15">
        <v>1997</v>
      </c>
      <c r="I2" s="18">
        <v>1997</v>
      </c>
      <c r="J2" s="19">
        <v>1997</v>
      </c>
      <c r="K2" s="15">
        <v>1997</v>
      </c>
      <c r="L2" s="18">
        <v>1997</v>
      </c>
      <c r="M2" s="19">
        <v>1997</v>
      </c>
      <c r="N2" s="15">
        <v>1997</v>
      </c>
      <c r="O2" s="18">
        <v>1997</v>
      </c>
      <c r="P2" s="19">
        <v>1997</v>
      </c>
      <c r="Q2" s="15">
        <v>1997</v>
      </c>
      <c r="R2" s="18">
        <v>1997</v>
      </c>
      <c r="S2" s="19">
        <v>1997</v>
      </c>
      <c r="U2" s="221" t="s">
        <v>103</v>
      </c>
      <c r="V2" s="221" t="s">
        <v>103</v>
      </c>
      <c r="W2" s="221" t="s">
        <v>103</v>
      </c>
      <c r="X2" s="221" t="s">
        <v>103</v>
      </c>
      <c r="Y2" s="221" t="s">
        <v>103</v>
      </c>
      <c r="Z2" s="221" t="s">
        <v>103</v>
      </c>
      <c r="AA2" s="98" t="s">
        <v>103</v>
      </c>
      <c r="AB2" s="98" t="s">
        <v>103</v>
      </c>
      <c r="AC2" s="98" t="s">
        <v>103</v>
      </c>
      <c r="AD2" s="98" t="s">
        <v>103</v>
      </c>
      <c r="AE2" s="98" t="s">
        <v>103</v>
      </c>
      <c r="AF2" s="98" t="s">
        <v>103</v>
      </c>
      <c r="AG2" s="98"/>
      <c r="AH2" s="98"/>
      <c r="AI2" s="98"/>
      <c r="AJ2" s="98"/>
    </row>
    <row r="3" spans="1:36">
      <c r="A3" s="152"/>
      <c r="B3" s="16" t="s">
        <v>104</v>
      </c>
      <c r="C3" s="20" t="s">
        <v>104</v>
      </c>
      <c r="D3" s="21" t="s">
        <v>104</v>
      </c>
      <c r="E3" s="16" t="s">
        <v>105</v>
      </c>
      <c r="F3" s="20" t="s">
        <v>105</v>
      </c>
      <c r="G3" s="21" t="s">
        <v>105</v>
      </c>
      <c r="H3" s="16" t="s">
        <v>106</v>
      </c>
      <c r="I3" s="20" t="s">
        <v>106</v>
      </c>
      <c r="J3" s="21" t="s">
        <v>106</v>
      </c>
      <c r="K3" s="16" t="s">
        <v>107</v>
      </c>
      <c r="L3" s="20" t="s">
        <v>108</v>
      </c>
      <c r="M3" s="21" t="s">
        <v>108</v>
      </c>
      <c r="N3" s="16" t="s">
        <v>104</v>
      </c>
      <c r="O3" s="20" t="s">
        <v>104</v>
      </c>
      <c r="P3" s="21" t="s">
        <v>104</v>
      </c>
      <c r="Q3" s="16" t="s">
        <v>109</v>
      </c>
      <c r="R3" s="20" t="s">
        <v>109</v>
      </c>
      <c r="S3" s="21" t="s">
        <v>109</v>
      </c>
      <c r="U3" s="125"/>
      <c r="V3" s="125"/>
      <c r="W3" s="125"/>
      <c r="X3" s="125"/>
      <c r="Y3" s="125"/>
      <c r="Z3" s="125"/>
      <c r="AA3" s="99"/>
      <c r="AB3" s="99"/>
      <c r="AC3" s="99"/>
      <c r="AD3" s="99"/>
      <c r="AE3" s="99"/>
      <c r="AF3" s="99"/>
      <c r="AG3" s="99"/>
      <c r="AH3" s="99"/>
      <c r="AI3" s="99"/>
      <c r="AJ3" s="437" t="s">
        <v>110</v>
      </c>
    </row>
    <row r="4" spans="1:36">
      <c r="A4" s="153"/>
      <c r="B4" s="17" t="s">
        <v>111</v>
      </c>
      <c r="C4" s="22" t="s">
        <v>112</v>
      </c>
      <c r="D4" s="23" t="s">
        <v>103</v>
      </c>
      <c r="E4" s="17" t="s">
        <v>111</v>
      </c>
      <c r="F4" s="22" t="s">
        <v>112</v>
      </c>
      <c r="G4" s="23" t="s">
        <v>103</v>
      </c>
      <c r="H4" s="17" t="s">
        <v>111</v>
      </c>
      <c r="I4" s="22" t="s">
        <v>112</v>
      </c>
      <c r="J4" s="23" t="s">
        <v>103</v>
      </c>
      <c r="K4" s="17" t="s">
        <v>111</v>
      </c>
      <c r="L4" s="22" t="s">
        <v>112</v>
      </c>
      <c r="M4" s="23" t="s">
        <v>103</v>
      </c>
      <c r="N4" s="17" t="s">
        <v>111</v>
      </c>
      <c r="O4" s="22" t="s">
        <v>112</v>
      </c>
      <c r="P4" s="23" t="s">
        <v>103</v>
      </c>
      <c r="Q4" s="17" t="s">
        <v>111</v>
      </c>
      <c r="R4" s="22" t="s">
        <v>112</v>
      </c>
      <c r="S4" s="23" t="s">
        <v>103</v>
      </c>
      <c r="U4" s="222">
        <v>33877</v>
      </c>
      <c r="V4" s="222">
        <v>33908</v>
      </c>
      <c r="W4" s="222">
        <v>33938</v>
      </c>
      <c r="X4" s="222">
        <v>33969</v>
      </c>
      <c r="Y4" s="222">
        <v>34000</v>
      </c>
      <c r="Z4" s="222">
        <v>34028</v>
      </c>
      <c r="AA4" s="100">
        <v>34059</v>
      </c>
      <c r="AB4" s="100">
        <v>34089</v>
      </c>
      <c r="AC4" s="100">
        <v>34120</v>
      </c>
      <c r="AD4" s="100">
        <v>34150</v>
      </c>
      <c r="AE4" s="100">
        <v>34181</v>
      </c>
      <c r="AF4" s="100">
        <v>34212</v>
      </c>
      <c r="AG4" s="100">
        <v>34242</v>
      </c>
      <c r="AH4" s="100">
        <v>34273</v>
      </c>
      <c r="AI4" s="100">
        <v>34303</v>
      </c>
      <c r="AJ4" s="100" t="s">
        <v>113</v>
      </c>
    </row>
    <row r="5" spans="1:36">
      <c r="A5" s="152"/>
      <c r="B5" s="8"/>
      <c r="C5" s="9"/>
      <c r="D5" s="10"/>
      <c r="E5" s="8"/>
      <c r="F5" s="9"/>
      <c r="G5" s="10"/>
      <c r="H5" s="8"/>
      <c r="I5" s="9"/>
      <c r="J5" s="10"/>
      <c r="K5" s="8"/>
      <c r="L5" s="9"/>
      <c r="M5" s="10"/>
      <c r="N5" s="8"/>
      <c r="O5" s="9"/>
      <c r="P5" s="10"/>
      <c r="Q5" s="8"/>
      <c r="R5" s="9"/>
      <c r="S5" s="10"/>
      <c r="U5" s="125"/>
      <c r="V5" s="125"/>
      <c r="W5" s="125"/>
      <c r="X5" s="125"/>
      <c r="Y5" s="125"/>
      <c r="Z5" s="125"/>
      <c r="AA5" s="99"/>
      <c r="AB5" s="99"/>
      <c r="AC5" s="99"/>
      <c r="AD5" s="99"/>
      <c r="AE5" s="99"/>
      <c r="AF5" s="99"/>
      <c r="AG5" s="99"/>
      <c r="AH5" s="99"/>
      <c r="AI5" s="99"/>
      <c r="AJ5" s="99"/>
    </row>
    <row r="6" spans="1:36">
      <c r="A6" s="154" t="s">
        <v>114</v>
      </c>
      <c r="B6" s="26">
        <f>Testing!B6+Equipment!B6+Process!B6+Instruments!B6</f>
        <v>4008915</v>
      </c>
      <c r="C6" s="31">
        <f>Testing!C6+Equipment!C6+Process!C6+Instruments!C6</f>
        <v>4364086</v>
      </c>
      <c r="D6" s="38">
        <f>Testing!D6+Equipment!D6+Process!D6+Instruments!D6</f>
        <v>3629392.8119999999</v>
      </c>
      <c r="E6" s="26">
        <f>Testing!E6+Equipment!E6+Process!E6+Instruments!E6</f>
        <v>3576892</v>
      </c>
      <c r="F6" s="31">
        <f>Testing!F6+Equipment!F6+Process!F6+Instruments!F6</f>
        <v>4172958.1929824562</v>
      </c>
      <c r="G6" s="38">
        <f>Testing!G6+Equipment!G6+Process!G6+Instruments!G6</f>
        <v>3121937.14</v>
      </c>
      <c r="H6" s="26">
        <f>Testing!H6+Equipment!H6+Process!H6+Instruments!H6</f>
        <v>3919399</v>
      </c>
      <c r="I6" s="31">
        <f>Testing!I6+Equipment!I6+Process!I6+Instruments!I6</f>
        <v>4463053.1929824557</v>
      </c>
      <c r="J6" s="38">
        <f>Testing!J6+Equipment!J6+Process!J6+Instruments!J6</f>
        <v>2842282.8499999996</v>
      </c>
      <c r="K6" s="26">
        <f>Testing!K6+Equipment!K6+Process!K6+Instruments!K6</f>
        <v>4030032</v>
      </c>
      <c r="L6" s="31">
        <f>Testing!L6+Equipment!L6+Process!L6+Instruments!L6</f>
        <v>4485440.421052631</v>
      </c>
      <c r="M6" s="38">
        <f>Testing!M6+Equipment!M6+Process!M6+Instruments!M6</f>
        <v>3431520.5960000004</v>
      </c>
      <c r="N6" s="26">
        <f>Testing!N6+Equipment!N6+Process!N6+Instruments!N6</f>
        <v>4098643</v>
      </c>
      <c r="O6" s="31">
        <f>Testing!O6+Equipment!O6+Process!O6+Instruments!O6</f>
        <v>4520421.1929824557</v>
      </c>
      <c r="P6" s="38">
        <f>Testing!P6+Equipment!P6+Process!P6+Instruments!P6</f>
        <v>3716421.76</v>
      </c>
      <c r="Q6" s="26">
        <f>E6+H6+K6+N6</f>
        <v>15624966</v>
      </c>
      <c r="R6" s="31">
        <f>F6+I6+L6+O6</f>
        <v>17641873</v>
      </c>
      <c r="S6" s="38">
        <f>G6+J6+M6+P6</f>
        <v>13112162.346000001</v>
      </c>
      <c r="U6" s="183">
        <f>Testing!U6+Equipment!U6+Process!U6+Instruments!U6</f>
        <v>1046156.6900000001</v>
      </c>
      <c r="V6" s="183">
        <f>Testing!V6+Equipment!V6+Process!V6+Instruments!V6</f>
        <v>1368012.6740000001</v>
      </c>
      <c r="W6" s="183">
        <f>Testing!W6+Equipment!W6+Process!W6+Instruments!W6</f>
        <v>1215223.4479999999</v>
      </c>
      <c r="X6" s="183">
        <f>Testing!X6+Equipment!X6+Process!X6+Instruments!X6</f>
        <v>1045532.8800000001</v>
      </c>
      <c r="Y6" s="183">
        <f>Testing!Y6+Equipment!Y6+Process!Y6+Instruments!Y6</f>
        <v>1056883.19</v>
      </c>
      <c r="Z6" s="183">
        <f>Testing!Z6+Equipment!Z6+Process!Z6+Instruments!Z6</f>
        <v>1019521.0700000001</v>
      </c>
      <c r="AA6" s="26">
        <f>Testing!AA6+Equipment!AA6+Process!AA6+Instruments!AA6</f>
        <v>850606.53</v>
      </c>
      <c r="AB6" s="26">
        <f>Testing!AB6+Equipment!AB6+Process!AB6+Instruments!AB6</f>
        <v>1048172.72</v>
      </c>
      <c r="AC6" s="26">
        <f>Testing!AC6+Equipment!AC6+Process!AC6+Instruments!AC6</f>
        <v>943503.60000000009</v>
      </c>
      <c r="AD6" s="26">
        <f>Testing!AD6+Equipment!AD6+Process!AD6+Instruments!AD6</f>
        <v>1143100.926</v>
      </c>
      <c r="AE6" s="26">
        <f>Testing!AE6+Equipment!AE6+Process!AE6+Instruments!AE6</f>
        <v>1056725.08</v>
      </c>
      <c r="AF6" s="26">
        <f>Testing!AF6+Equipment!AF6+Process!AF6+Instruments!AF6</f>
        <v>1231694.5900000001</v>
      </c>
      <c r="AG6" s="26">
        <f>Testing!AG6+Equipment!AG6+Process!AG6+Instruments!AG6</f>
        <v>1281699.6300000001</v>
      </c>
      <c r="AH6" s="26">
        <f>Testing!AH6+Equipment!AH6+Process!AH6+Instruments!AH6</f>
        <v>1152062.1099999999</v>
      </c>
      <c r="AI6" s="26">
        <f>Testing!AI6+Equipment!AI6+Process!AI6+Instruments!AI6</f>
        <v>1282660.07</v>
      </c>
      <c r="AJ6" s="101">
        <f>SUM(X6:AI6)</f>
        <v>13112162.396000002</v>
      </c>
    </row>
    <row r="7" spans="1:36">
      <c r="A7" s="155" t="s">
        <v>115</v>
      </c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"/>
      <c r="R7" s="9"/>
      <c r="S7" s="10"/>
      <c r="U7" s="183"/>
      <c r="V7" s="125"/>
      <c r="W7" s="125"/>
      <c r="X7" s="125"/>
      <c r="Y7" s="125"/>
      <c r="Z7" s="125"/>
      <c r="AA7" s="99"/>
      <c r="AB7" s="99"/>
      <c r="AC7" s="99"/>
      <c r="AD7" s="99"/>
      <c r="AE7" s="99"/>
      <c r="AF7" s="99"/>
      <c r="AG7" s="99"/>
      <c r="AH7" s="99"/>
      <c r="AI7" s="99"/>
      <c r="AJ7" s="99"/>
    </row>
    <row r="8" spans="1:36">
      <c r="A8" s="154" t="s">
        <v>116</v>
      </c>
      <c r="B8" s="26">
        <f>Testing!B8+Equipment!B8+Process!B8+Instruments!B8</f>
        <v>3242701.9299999997</v>
      </c>
      <c r="C8" s="31">
        <f>Testing!C8+Equipment!C8+Process!C8+Instruments!C8</f>
        <v>3397582</v>
      </c>
      <c r="D8" s="38">
        <f>Testing!D8+Equipment!D8+Process!D8+Instruments!D8</f>
        <v>2914661.38</v>
      </c>
      <c r="E8" s="26">
        <f>Testing!E8+Equipment!E8+Process!E8+Instruments!E8</f>
        <v>2949625.586544557</v>
      </c>
      <c r="F8" s="31">
        <f>Testing!F8+Equipment!F8+Process!F8+Instruments!F8</f>
        <v>3211083.5622445126</v>
      </c>
      <c r="G8" s="38">
        <f>Testing!G8+Equipment!G8+Process!G8+Instruments!G8</f>
        <v>2565389.0699999998</v>
      </c>
      <c r="H8" s="26">
        <f>Testing!H8+Equipment!H8+Process!H8+Instruments!H8</f>
        <v>3086459.2637847969</v>
      </c>
      <c r="I8" s="31">
        <f>Testing!I8+Equipment!I8+Process!I8+Instruments!I8</f>
        <v>3299668.6922445125</v>
      </c>
      <c r="J8" s="38">
        <f>Testing!J8+Equipment!J8+Process!J8+Instruments!J8</f>
        <v>2704171.83</v>
      </c>
      <c r="K8" s="26">
        <f>Testing!K8+Equipment!K8+Process!K8+Instruments!K8</f>
        <v>3092150.8253789442</v>
      </c>
      <c r="L8" s="31">
        <f>Testing!L8+Equipment!L8+Process!L8+Instruments!L8</f>
        <v>3280140.0695476918</v>
      </c>
      <c r="M8" s="38">
        <f>Testing!M8+Equipment!M8+Process!M8+Instruments!M8</f>
        <v>2905960.4839999997</v>
      </c>
      <c r="N8" s="26">
        <f>Testing!N8+Equipment!N8+Process!N8+Instruments!N8</f>
        <v>3139416.6074846541</v>
      </c>
      <c r="O8" s="31">
        <f>Testing!O8+Equipment!O8+Process!O8+Instruments!O8</f>
        <v>3296904.9422445125</v>
      </c>
      <c r="P8" s="38">
        <f>Testing!P8+Equipment!P8+Process!P8+Instruments!P8</f>
        <v>2897576.92</v>
      </c>
      <c r="Q8" s="26">
        <f>E8+H8+K8+N8</f>
        <v>12267652.283192951</v>
      </c>
      <c r="R8" s="31">
        <f>F8+I8+L8+O8</f>
        <v>13087797.26628123</v>
      </c>
      <c r="S8" s="38">
        <f>G8+J8+M8+P8</f>
        <v>11073098.304</v>
      </c>
      <c r="U8" s="183">
        <f>Testing!U8+Equipment!U8+Process!U8+Instruments!U8</f>
        <v>917048.99</v>
      </c>
      <c r="V8" s="183">
        <f>Testing!V8+Equipment!V8+Process!V8+Instruments!V8</f>
        <v>1029940.69</v>
      </c>
      <c r="W8" s="183">
        <f>Testing!W8+Equipment!W8+Process!W8+Instruments!W8</f>
        <v>967671.7</v>
      </c>
      <c r="X8" s="183">
        <f>Testing!X8+Equipment!X8+Process!X8+Instruments!X8</f>
        <v>803605.82</v>
      </c>
      <c r="Y8" s="183">
        <f>Testing!Y8+Equipment!Y8+Process!Y8+Instruments!Y8</f>
        <v>884180.37999999989</v>
      </c>
      <c r="Z8" s="183">
        <f>Testing!Z8+Equipment!Z8+Process!Z8+Instruments!Z8</f>
        <v>877602.87000000011</v>
      </c>
      <c r="AA8" s="26">
        <f>Testing!AA8+Equipment!AA8+Process!AA8+Instruments!AA8</f>
        <v>906525.65</v>
      </c>
      <c r="AB8" s="26">
        <f>Testing!AB8+Equipment!AB8+Process!AB8+Instruments!AB8</f>
        <v>860255.55</v>
      </c>
      <c r="AC8" s="26">
        <f>Testing!AC8+Equipment!AC8+Process!AC8+Instruments!AC8</f>
        <v>937390.62999999989</v>
      </c>
      <c r="AD8" s="26">
        <f>Testing!AD8+Equipment!AD8+Process!AD8+Instruments!AD8</f>
        <v>1066619.5739999998</v>
      </c>
      <c r="AE8" s="26">
        <f>Testing!AE8+Equipment!AE8+Process!AE8+Instruments!AE8</f>
        <v>853898.7</v>
      </c>
      <c r="AF8" s="26">
        <f>Testing!AF8+Equipment!AF8+Process!AF8+Instruments!AF8</f>
        <v>1005687.7200000001</v>
      </c>
      <c r="AG8" s="26">
        <f>Testing!AG8+Equipment!AG8+Process!AG8+Instruments!AG8</f>
        <v>893898.02999999991</v>
      </c>
      <c r="AH8" s="26">
        <f>Testing!AH8+Equipment!AH8+Process!AH8+Instruments!AH8</f>
        <v>936034.34</v>
      </c>
      <c r="AI8" s="26">
        <f>Testing!AI8+Equipment!AI8+Process!AI8+Instruments!AI8</f>
        <v>1073400.19</v>
      </c>
      <c r="AJ8" s="101">
        <f>SUM(X8:AI8)</f>
        <v>11099099.453999998</v>
      </c>
    </row>
    <row r="9" spans="1:36" ht="14" thickBot="1">
      <c r="A9" s="156"/>
      <c r="B9" s="6"/>
      <c r="C9" s="1"/>
      <c r="D9" s="7"/>
      <c r="E9" s="6"/>
      <c r="F9" s="1"/>
      <c r="G9" s="7"/>
      <c r="H9" s="6"/>
      <c r="I9" s="1"/>
      <c r="J9" s="7"/>
      <c r="K9" s="6"/>
      <c r="L9" s="1"/>
      <c r="M9" s="7"/>
      <c r="N9" s="6"/>
      <c r="O9" s="1"/>
      <c r="P9" s="7"/>
      <c r="Q9" s="6"/>
      <c r="R9" s="1"/>
      <c r="S9" s="7"/>
      <c r="U9" s="125"/>
      <c r="V9" s="125"/>
      <c r="W9" s="125"/>
      <c r="X9" s="125"/>
      <c r="Y9" s="125"/>
      <c r="Z9" s="125"/>
      <c r="AA9" s="99"/>
      <c r="AB9" s="99"/>
      <c r="AC9" s="99"/>
      <c r="AD9" s="99"/>
      <c r="AE9" s="99"/>
      <c r="AF9" s="99"/>
      <c r="AG9" s="99"/>
      <c r="AH9" s="99"/>
      <c r="AI9" s="99"/>
      <c r="AJ9" s="99"/>
    </row>
    <row r="10" spans="1:36" ht="14" thickBot="1">
      <c r="A10" s="157" t="s">
        <v>117</v>
      </c>
      <c r="B10" s="35">
        <f>B6-B8</f>
        <v>766213.0700000003</v>
      </c>
      <c r="C10" s="32">
        <f t="shared" ref="C10:R10" si="0">C6-C8</f>
        <v>966504</v>
      </c>
      <c r="D10" s="36">
        <f t="shared" si="0"/>
        <v>714731.43200000003</v>
      </c>
      <c r="E10" s="35">
        <f t="shared" si="0"/>
        <v>627266.41345544299</v>
      </c>
      <c r="F10" s="32">
        <f t="shared" si="0"/>
        <v>961874.63073794357</v>
      </c>
      <c r="G10" s="36">
        <f t="shared" si="0"/>
        <v>556548.0700000003</v>
      </c>
      <c r="H10" s="35">
        <f t="shared" si="0"/>
        <v>832939.73621520307</v>
      </c>
      <c r="I10" s="32">
        <f t="shared" si="0"/>
        <v>1163384.5007379432</v>
      </c>
      <c r="J10" s="36">
        <f t="shared" si="0"/>
        <v>138111.01999999955</v>
      </c>
      <c r="K10" s="35">
        <f t="shared" si="0"/>
        <v>937881.17462105583</v>
      </c>
      <c r="L10" s="32">
        <f t="shared" si="0"/>
        <v>1205300.3515049391</v>
      </c>
      <c r="M10" s="36">
        <f t="shared" si="0"/>
        <v>525560.11200000066</v>
      </c>
      <c r="N10" s="35">
        <f t="shared" si="0"/>
        <v>959226.39251534594</v>
      </c>
      <c r="O10" s="32">
        <f t="shared" si="0"/>
        <v>1223516.2507379432</v>
      </c>
      <c r="P10" s="36">
        <f t="shared" si="0"/>
        <v>818844.83999999985</v>
      </c>
      <c r="Q10" s="35">
        <f t="shared" si="0"/>
        <v>3357313.7168070488</v>
      </c>
      <c r="R10" s="32">
        <f t="shared" si="0"/>
        <v>4554075.7337187696</v>
      </c>
      <c r="S10" s="36">
        <f>S6-S8</f>
        <v>2039064.0420000013</v>
      </c>
      <c r="U10" s="223">
        <f t="shared" ref="U10:AJ10" si="1">U6-U8</f>
        <v>129107.70000000007</v>
      </c>
      <c r="V10" s="223">
        <f t="shared" si="1"/>
        <v>338071.98400000017</v>
      </c>
      <c r="W10" s="223">
        <f t="shared" si="1"/>
        <v>247551.74799999991</v>
      </c>
      <c r="X10" s="223">
        <f t="shared" si="1"/>
        <v>241927.06000000017</v>
      </c>
      <c r="Y10" s="223">
        <f t="shared" si="1"/>
        <v>172702.81000000006</v>
      </c>
      <c r="Z10" s="223">
        <f t="shared" si="1"/>
        <v>141918.19999999995</v>
      </c>
      <c r="AA10" s="102">
        <f t="shared" si="1"/>
        <v>-55919.119999999995</v>
      </c>
      <c r="AB10" s="102">
        <f t="shared" si="1"/>
        <v>187917.16999999993</v>
      </c>
      <c r="AC10" s="102">
        <f t="shared" si="1"/>
        <v>6112.9700000002049</v>
      </c>
      <c r="AD10" s="102">
        <f t="shared" si="1"/>
        <v>76481.352000000188</v>
      </c>
      <c r="AE10" s="102">
        <f t="shared" si="1"/>
        <v>202826.38000000012</v>
      </c>
      <c r="AF10" s="102">
        <f t="shared" si="1"/>
        <v>226006.87</v>
      </c>
      <c r="AG10" s="102">
        <f t="shared" si="1"/>
        <v>387801.60000000021</v>
      </c>
      <c r="AH10" s="102">
        <f t="shared" si="1"/>
        <v>216027.7699999999</v>
      </c>
      <c r="AI10" s="102">
        <f t="shared" si="1"/>
        <v>209259.88000000012</v>
      </c>
      <c r="AJ10" s="102">
        <f t="shared" si="1"/>
        <v>2013062.9420000035</v>
      </c>
    </row>
    <row r="11" spans="1:36">
      <c r="A11" s="152"/>
      <c r="B11" s="8"/>
      <c r="C11" s="9"/>
      <c r="D11" s="10"/>
      <c r="E11" s="8"/>
      <c r="F11" s="9"/>
      <c r="G11" s="10"/>
      <c r="H11" s="8"/>
      <c r="I11" s="9"/>
      <c r="J11" s="10"/>
      <c r="K11" s="8"/>
      <c r="L11" s="9"/>
      <c r="M11" s="10"/>
      <c r="N11" s="8"/>
      <c r="O11" s="9"/>
      <c r="P11" s="10"/>
      <c r="Q11" s="8"/>
      <c r="R11" s="9"/>
      <c r="S11" s="10"/>
      <c r="U11" s="125"/>
      <c r="V11" s="125"/>
      <c r="W11" s="125"/>
      <c r="X11" s="125"/>
      <c r="Y11" s="125"/>
      <c r="Z11" s="125"/>
      <c r="AA11" s="99"/>
      <c r="AB11" s="99"/>
      <c r="AC11" s="99"/>
      <c r="AD11" s="99"/>
      <c r="AE11" s="99"/>
      <c r="AF11" s="99"/>
      <c r="AG11" s="99"/>
      <c r="AH11" s="99"/>
      <c r="AI11" s="99"/>
      <c r="AJ11" s="99"/>
    </row>
    <row r="12" spans="1:36">
      <c r="A12" s="158" t="s">
        <v>59</v>
      </c>
      <c r="B12" s="8"/>
      <c r="C12" s="31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"/>
      <c r="R12" s="9"/>
      <c r="S12" s="10"/>
      <c r="U12" s="125"/>
      <c r="V12" s="125"/>
      <c r="W12" s="125"/>
      <c r="X12" s="125"/>
      <c r="Y12" s="125"/>
      <c r="Z12" s="125"/>
      <c r="AA12" s="99"/>
      <c r="AB12" s="99"/>
      <c r="AC12" s="99"/>
      <c r="AD12" s="99"/>
      <c r="AE12" s="99"/>
      <c r="AF12" s="99"/>
      <c r="AG12" s="99"/>
      <c r="AH12" s="99"/>
      <c r="AI12" s="99"/>
      <c r="AJ12" s="99"/>
    </row>
    <row r="13" spans="1:36">
      <c r="A13" s="152"/>
      <c r="B13" s="346"/>
      <c r="C13" s="347"/>
      <c r="D13" s="107"/>
      <c r="E13" s="106"/>
      <c r="F13" s="108"/>
      <c r="G13" s="107"/>
      <c r="H13" s="106"/>
      <c r="I13" s="108"/>
      <c r="J13" s="107"/>
      <c r="K13" s="106"/>
      <c r="L13" s="108"/>
      <c r="M13" s="107"/>
      <c r="N13" s="106"/>
      <c r="O13" s="108"/>
      <c r="P13" s="107"/>
      <c r="Q13" s="106"/>
      <c r="R13" s="108"/>
      <c r="S13" s="107"/>
      <c r="U13" s="125"/>
      <c r="V13" s="125"/>
      <c r="W13" s="125"/>
      <c r="X13" s="125"/>
      <c r="Y13" s="125"/>
      <c r="Z13" s="125"/>
      <c r="AA13" s="99"/>
      <c r="AB13" s="99"/>
      <c r="AC13" s="99"/>
      <c r="AD13" s="99"/>
      <c r="AE13" s="99"/>
      <c r="AF13" s="99"/>
      <c r="AG13" s="99"/>
      <c r="AH13" s="99"/>
      <c r="AI13" s="99"/>
      <c r="AJ13" s="99"/>
    </row>
    <row r="14" spans="1:36">
      <c r="A14" s="159"/>
      <c r="B14" s="11"/>
      <c r="C14" s="40"/>
      <c r="D14" s="44"/>
      <c r="E14" s="11"/>
      <c r="F14" s="40"/>
      <c r="G14" s="44"/>
      <c r="H14" s="11"/>
      <c r="I14" s="40"/>
      <c r="J14" s="44"/>
      <c r="K14" s="11"/>
      <c r="L14" s="40"/>
      <c r="M14" s="44"/>
      <c r="N14" s="11"/>
      <c r="O14" s="40"/>
      <c r="P14" s="44"/>
      <c r="Q14" s="11"/>
      <c r="R14" s="40"/>
      <c r="S14" s="44"/>
      <c r="T14" s="52"/>
      <c r="U14" s="125"/>
      <c r="V14" s="125"/>
      <c r="W14" s="125"/>
      <c r="X14" s="125"/>
      <c r="Y14" s="125"/>
      <c r="Z14" s="125"/>
      <c r="AA14" s="99"/>
      <c r="AB14" s="99"/>
      <c r="AC14" s="99"/>
      <c r="AD14" s="99"/>
      <c r="AE14" s="99"/>
      <c r="AF14" s="99"/>
      <c r="AG14" s="99"/>
      <c r="AH14" s="99"/>
      <c r="AI14" s="99"/>
      <c r="AJ14" s="99"/>
    </row>
    <row r="15" spans="1:36">
      <c r="A15" s="160" t="s">
        <v>118</v>
      </c>
      <c r="B15" s="49">
        <f>Testing!B15+Equipment!B15+Process!B15+Instruments!B15</f>
        <v>215144</v>
      </c>
      <c r="C15" s="50">
        <f>Testing!C15+Equipment!C15+Process!C15+Instruments!C15</f>
        <v>215144</v>
      </c>
      <c r="D15" s="51">
        <f>Testing!D15+Equipment!D15+Process!D15+Instruments!D15</f>
        <v>212686</v>
      </c>
      <c r="E15" s="49">
        <f>Testing!E15+Equipment!E15+Process!E15+Instruments!E15</f>
        <v>215144</v>
      </c>
      <c r="F15" s="50">
        <f>Testing!F15+Equipment!F15+Process!F15+Instruments!F15</f>
        <v>215144</v>
      </c>
      <c r="G15" s="51">
        <f>Testing!G15+Equipment!G15+Process!G15+Instruments!G15</f>
        <v>67697.63</v>
      </c>
      <c r="H15" s="49">
        <f>Testing!H15+Equipment!H15+Process!H15+Instruments!H15</f>
        <v>87296.63</v>
      </c>
      <c r="I15" s="50">
        <f>Testing!I15+Equipment!I15+Process!I15+Instruments!I15</f>
        <v>87296.63</v>
      </c>
      <c r="J15" s="51">
        <f>Testing!J15+Equipment!J15+Process!J15+Instruments!J15</f>
        <v>49490.260300000002</v>
      </c>
      <c r="K15" s="49">
        <f>Testing!K15+Equipment!K15+Process!K15+Instruments!K15</f>
        <v>87296.63</v>
      </c>
      <c r="L15" s="50">
        <f>Testing!L15+Equipment!L15+Process!L15+Instruments!L15</f>
        <v>87296.63</v>
      </c>
      <c r="M15" s="51">
        <f>Testing!M15+Equipment!M15+Process!M15+Instruments!M15</f>
        <v>67647.256000000008</v>
      </c>
      <c r="N15" s="49">
        <f>Testing!N15+Equipment!N15+Process!N15+Instruments!N15</f>
        <v>90596.63</v>
      </c>
      <c r="O15" s="50">
        <f>Testing!O15+Equipment!O15+Process!O15+Instruments!O15</f>
        <v>90596.63</v>
      </c>
      <c r="P15" s="51">
        <f>Testing!P15+Equipment!P15+Process!P15+Instruments!P15</f>
        <v>78733.166000000012</v>
      </c>
      <c r="Q15" s="49">
        <f>E15+H15+K15+N15</f>
        <v>480333.89</v>
      </c>
      <c r="R15" s="50">
        <f>F15+I15+L15+O15</f>
        <v>480333.89</v>
      </c>
      <c r="S15" s="38">
        <f>G15+J15+M15+P15</f>
        <v>263568.31230000005</v>
      </c>
      <c r="T15" s="48"/>
      <c r="U15" s="118">
        <f t="array" ref="U15:AI15">Finance!$U$15:$AI$15</f>
        <v>137835</v>
      </c>
      <c r="V15" s="118">
        <v>71021</v>
      </c>
      <c r="W15" s="118">
        <v>14065.58</v>
      </c>
      <c r="X15" s="118">
        <v>71453.23</v>
      </c>
      <c r="Y15" s="118">
        <v>62885.700000000004</v>
      </c>
      <c r="Z15" s="118">
        <v>57415.689999999995</v>
      </c>
      <c r="AA15" s="49">
        <v>37960.61</v>
      </c>
      <c r="AB15" s="49">
        <v>39203.089999999997</v>
      </c>
      <c r="AC15" s="49">
        <v>71207.25</v>
      </c>
      <c r="AD15" s="49">
        <v>56803.05</v>
      </c>
      <c r="AE15" s="49">
        <v>83210.960000000006</v>
      </c>
      <c r="AF15" s="49">
        <v>70136.41</v>
      </c>
      <c r="AG15" s="49">
        <v>106722.12999999999</v>
      </c>
      <c r="AH15" s="49">
        <v>72711.38</v>
      </c>
      <c r="AI15" s="49">
        <v>66477.91</v>
      </c>
      <c r="AJ15" s="101">
        <f>SUM(X15:AI15)</f>
        <v>796187.41</v>
      </c>
    </row>
    <row r="16" spans="1:36">
      <c r="A16" s="160"/>
      <c r="B16" s="49"/>
      <c r="C16" s="50"/>
      <c r="D16" s="51"/>
      <c r="E16" s="49"/>
      <c r="F16" s="50"/>
      <c r="G16" s="51"/>
      <c r="H16" s="49"/>
      <c r="I16" s="50"/>
      <c r="J16" s="51"/>
      <c r="K16" s="49"/>
      <c r="L16" s="50"/>
      <c r="M16" s="51"/>
      <c r="N16" s="49"/>
      <c r="O16" s="50"/>
      <c r="P16" s="51"/>
      <c r="Q16" s="49"/>
      <c r="R16" s="50"/>
      <c r="S16" s="51"/>
      <c r="T16" s="48"/>
      <c r="U16" s="124"/>
      <c r="V16" s="124"/>
      <c r="W16" s="124"/>
      <c r="X16" s="124"/>
      <c r="Y16" s="124"/>
      <c r="Z16" s="124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</row>
    <row r="17" spans="1:36">
      <c r="A17" s="160" t="s">
        <v>119</v>
      </c>
      <c r="B17" s="49">
        <f>Testing!B17+Equipment!B17+Process!B17+Instruments!B17</f>
        <v>83611</v>
      </c>
      <c r="C17" s="50">
        <f>Testing!C17+Equipment!C17+Process!C17+Instruments!C17</f>
        <v>83611</v>
      </c>
      <c r="D17" s="51">
        <f>Testing!D17+Equipment!D17+Process!D17+Instruments!D17</f>
        <v>73264</v>
      </c>
      <c r="E17" s="49">
        <f>Testing!E17+Equipment!E17+Process!E17+Instruments!E17</f>
        <v>83611</v>
      </c>
      <c r="F17" s="50">
        <f>Testing!F17+Equipment!F17+Process!F17+Instruments!F17</f>
        <v>83611</v>
      </c>
      <c r="G17" s="51">
        <f>Testing!G17+Equipment!G17+Process!G17+Instruments!G17</f>
        <v>23531.63</v>
      </c>
      <c r="H17" s="49">
        <f>Testing!H17+Equipment!H17+Process!H17+Instruments!H17</f>
        <v>29300.63</v>
      </c>
      <c r="I17" s="50">
        <f>Testing!I17+Equipment!I17+Process!I17+Instruments!I17</f>
        <v>29300.63</v>
      </c>
      <c r="J17" s="51">
        <f>Testing!J17+Equipment!J17+Process!J17+Instruments!J17</f>
        <v>23269.996000000003</v>
      </c>
      <c r="K17" s="49">
        <f>Testing!K17+Equipment!K17+Process!K17+Instruments!K17</f>
        <v>29300.63</v>
      </c>
      <c r="L17" s="50">
        <f>Testing!L17+Equipment!L17+Process!L17+Instruments!L17</f>
        <v>29300.63</v>
      </c>
      <c r="M17" s="51">
        <f>Testing!M17+Equipment!M17+Process!M17+Instruments!M17</f>
        <v>24150.930000000004</v>
      </c>
      <c r="N17" s="49">
        <f>Testing!N17+Equipment!N17+Process!N17+Instruments!N17</f>
        <v>29300.63</v>
      </c>
      <c r="O17" s="50">
        <f>Testing!O17+Equipment!O17+Process!O17+Instruments!O17</f>
        <v>29300.63</v>
      </c>
      <c r="P17" s="51">
        <f>Testing!P17+Equipment!P17+Process!P17+Instruments!P17</f>
        <v>22905.277000000006</v>
      </c>
      <c r="Q17" s="49">
        <f>E17+H17+K17+N17</f>
        <v>171512.89</v>
      </c>
      <c r="R17" s="50">
        <f>F17+I17+L17+O17</f>
        <v>171512.89</v>
      </c>
      <c r="S17" s="51">
        <f>G17+J17+M17+P17</f>
        <v>93857.833000000013</v>
      </c>
      <c r="T17" s="48"/>
      <c r="U17" s="124">
        <f t="array" ref="U17:AI17">Information!$U$17:$AI$17</f>
        <v>25274.1</v>
      </c>
      <c r="V17" s="124">
        <v>24856.75</v>
      </c>
      <c r="W17" s="124">
        <v>17613.93</v>
      </c>
      <c r="X17" s="124">
        <v>24208.959999999999</v>
      </c>
      <c r="Y17" s="124">
        <v>19917</v>
      </c>
      <c r="Z17" s="124">
        <v>21553</v>
      </c>
      <c r="AA17" s="140">
        <v>23243</v>
      </c>
      <c r="AB17" s="140">
        <v>23794.92</v>
      </c>
      <c r="AC17" s="140">
        <v>25014</v>
      </c>
      <c r="AD17" s="140">
        <v>24613.67</v>
      </c>
      <c r="AE17" s="140">
        <v>26302</v>
      </c>
      <c r="AF17" s="140">
        <v>24929.13</v>
      </c>
      <c r="AG17" s="140">
        <v>26909.46</v>
      </c>
      <c r="AH17" s="140">
        <v>28285.09</v>
      </c>
      <c r="AI17" s="140">
        <v>14820.44</v>
      </c>
      <c r="AJ17" s="101">
        <f>SUM(X17:AI17)</f>
        <v>283590.67</v>
      </c>
    </row>
    <row r="18" spans="1:36">
      <c r="A18" s="160"/>
      <c r="B18" s="49"/>
      <c r="C18" s="50"/>
      <c r="D18" s="51"/>
      <c r="E18" s="49"/>
      <c r="F18" s="50"/>
      <c r="G18" s="51"/>
      <c r="H18" s="49"/>
      <c r="I18" s="50"/>
      <c r="J18" s="51"/>
      <c r="K18" s="49"/>
      <c r="L18" s="50"/>
      <c r="M18" s="51"/>
      <c r="N18" s="49"/>
      <c r="O18" s="50"/>
      <c r="P18" s="51"/>
      <c r="Q18" s="49"/>
      <c r="R18" s="50"/>
      <c r="S18" s="51"/>
      <c r="T18" s="48"/>
      <c r="U18" s="124"/>
      <c r="V18" s="124"/>
      <c r="W18" s="124"/>
      <c r="X18" s="124"/>
      <c r="Y18" s="124"/>
      <c r="Z18" s="124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</row>
    <row r="19" spans="1:36">
      <c r="A19" s="161" t="s">
        <v>120</v>
      </c>
      <c r="B19" s="49">
        <f>Testing!B19+Equipment!B19+Process!B19+Instruments!B19</f>
        <v>58200</v>
      </c>
      <c r="C19" s="50">
        <f>Testing!C19+Equipment!C19+Process!C19+Instruments!C19</f>
        <v>58200</v>
      </c>
      <c r="D19" s="51">
        <f>Testing!D19+Equipment!D19+Process!D19+Instruments!D19</f>
        <v>76562</v>
      </c>
      <c r="E19" s="49">
        <f>Testing!E19+Equipment!E19+Process!E19+Instruments!E19</f>
        <v>58200</v>
      </c>
      <c r="F19" s="50">
        <f>Testing!F19+Equipment!F19+Process!F19+Instruments!F19</f>
        <v>58200</v>
      </c>
      <c r="G19" s="51">
        <f>Testing!G19+Equipment!G19+Process!G19+Instruments!G19</f>
        <v>17635</v>
      </c>
      <c r="H19" s="49">
        <f>Testing!H19+Equipment!H19+Process!H19+Instruments!H19</f>
        <v>20400.63</v>
      </c>
      <c r="I19" s="50">
        <f>Testing!I19+Equipment!I19+Process!I19+Instruments!I19</f>
        <v>20400.63</v>
      </c>
      <c r="J19" s="51">
        <f>Testing!J19+Equipment!J19+Process!J19+Instruments!J19</f>
        <v>15067.844800000001</v>
      </c>
      <c r="K19" s="49">
        <f>Testing!K19+Equipment!K19+Process!K19+Instruments!K19</f>
        <v>20400.63</v>
      </c>
      <c r="L19" s="50">
        <f>Testing!L19+Equipment!L19+Process!L19+Instruments!L19</f>
        <v>20400.63</v>
      </c>
      <c r="M19" s="51">
        <f>Testing!M19+Equipment!M19+Process!M19+Instruments!M19</f>
        <v>7103.35</v>
      </c>
      <c r="N19" s="49">
        <f>Testing!N19+Equipment!N19+Process!N19+Instruments!N19</f>
        <v>20400.63</v>
      </c>
      <c r="O19" s="50">
        <f>Testing!O19+Equipment!O19+Process!O19+Instruments!O19</f>
        <v>20400.63</v>
      </c>
      <c r="P19" s="51">
        <f>Testing!P19+Equipment!P19+Process!P19+Instruments!P19</f>
        <v>13712.417999999998</v>
      </c>
      <c r="Q19" s="55">
        <f>E19+H19+K19+N19</f>
        <v>119401.89000000001</v>
      </c>
      <c r="R19" s="56">
        <f>F19+I19+L19+O19</f>
        <v>119401.89000000001</v>
      </c>
      <c r="S19" s="57">
        <f>G19+J19+M19+P19</f>
        <v>53518.612799999995</v>
      </c>
      <c r="T19" s="48"/>
      <c r="U19" s="124">
        <f t="array" ref="U19:AI19">Admin!$U$19:$AI$19</f>
        <v>32941.279999999999</v>
      </c>
      <c r="V19" s="124">
        <v>30458.74</v>
      </c>
      <c r="W19" s="124">
        <v>24054.799999999999</v>
      </c>
      <c r="X19" s="124">
        <v>15176.57</v>
      </c>
      <c r="Y19" s="124">
        <v>27736.38</v>
      </c>
      <c r="Z19" s="124">
        <v>4811.03</v>
      </c>
      <c r="AA19" s="140">
        <v>18230.259999999998</v>
      </c>
      <c r="AB19" s="140">
        <v>16239.69</v>
      </c>
      <c r="AC19" s="140">
        <v>10908.7</v>
      </c>
      <c r="AD19" s="140">
        <v>5645.34</v>
      </c>
      <c r="AE19" s="140">
        <v>7493.83</v>
      </c>
      <c r="AF19" s="140">
        <v>6547.03</v>
      </c>
      <c r="AG19" s="140">
        <v>15916.759999999998</v>
      </c>
      <c r="AH19" s="140">
        <v>9597</v>
      </c>
      <c r="AI19" s="140">
        <v>15492</v>
      </c>
      <c r="AJ19" s="101">
        <f>SUM(X19:AI19)</f>
        <v>153794.58999999997</v>
      </c>
    </row>
    <row r="20" spans="1:36">
      <c r="A20" s="205" t="s">
        <v>121</v>
      </c>
      <c r="B20" s="206">
        <f>B19+B17+B15</f>
        <v>356955</v>
      </c>
      <c r="C20" s="207">
        <f t="shared" ref="C20:R20" si="2">C19+C17+C15</f>
        <v>356955</v>
      </c>
      <c r="D20" s="208">
        <f t="shared" si="2"/>
        <v>362512</v>
      </c>
      <c r="E20" s="206">
        <f t="shared" si="2"/>
        <v>356955</v>
      </c>
      <c r="F20" s="207">
        <f t="shared" si="2"/>
        <v>356955</v>
      </c>
      <c r="G20" s="208">
        <f t="shared" si="2"/>
        <v>108864.26000000001</v>
      </c>
      <c r="H20" s="206">
        <f t="shared" si="2"/>
        <v>136997.89000000001</v>
      </c>
      <c r="I20" s="207">
        <f t="shared" si="2"/>
        <v>136997.89000000001</v>
      </c>
      <c r="J20" s="208">
        <f t="shared" si="2"/>
        <v>87828.1011</v>
      </c>
      <c r="K20" s="206">
        <f t="shared" si="2"/>
        <v>136997.89000000001</v>
      </c>
      <c r="L20" s="207">
        <f t="shared" si="2"/>
        <v>136997.89000000001</v>
      </c>
      <c r="M20" s="208">
        <f t="shared" si="2"/>
        <v>98901.536000000022</v>
      </c>
      <c r="N20" s="206">
        <f t="shared" si="2"/>
        <v>140297.89000000001</v>
      </c>
      <c r="O20" s="207">
        <f t="shared" si="2"/>
        <v>140297.89000000001</v>
      </c>
      <c r="P20" s="208">
        <f t="shared" si="2"/>
        <v>115350.86100000002</v>
      </c>
      <c r="Q20" s="206">
        <f t="shared" si="2"/>
        <v>771248.67</v>
      </c>
      <c r="R20" s="207">
        <f t="shared" si="2"/>
        <v>771248.67</v>
      </c>
      <c r="S20" s="208">
        <f t="shared" ref="S20:AH20" si="3">S19+S17+S15</f>
        <v>410944.75810000009</v>
      </c>
      <c r="T20" s="209"/>
      <c r="U20" s="224">
        <f t="shared" si="3"/>
        <v>196050.38</v>
      </c>
      <c r="V20" s="224">
        <f t="shared" si="3"/>
        <v>126336.49</v>
      </c>
      <c r="W20" s="224">
        <f t="shared" si="3"/>
        <v>55734.31</v>
      </c>
      <c r="X20" s="224">
        <f t="shared" si="3"/>
        <v>110838.76</v>
      </c>
      <c r="Y20" s="224">
        <f t="shared" si="3"/>
        <v>110539.08000000002</v>
      </c>
      <c r="Z20" s="224">
        <f t="shared" si="3"/>
        <v>83779.72</v>
      </c>
      <c r="AA20" s="210">
        <f t="shared" si="3"/>
        <v>79433.87</v>
      </c>
      <c r="AB20" s="210">
        <f t="shared" si="3"/>
        <v>79237.7</v>
      </c>
      <c r="AC20" s="210">
        <f t="shared" si="3"/>
        <v>107129.95</v>
      </c>
      <c r="AD20" s="210">
        <f t="shared" si="3"/>
        <v>87062.06</v>
      </c>
      <c r="AE20" s="210">
        <f t="shared" si="3"/>
        <v>117006.79000000001</v>
      </c>
      <c r="AF20" s="210">
        <f t="shared" si="3"/>
        <v>101612.57</v>
      </c>
      <c r="AG20" s="210">
        <f t="shared" si="3"/>
        <v>149548.34999999998</v>
      </c>
      <c r="AH20" s="210">
        <f t="shared" si="3"/>
        <v>110593.47</v>
      </c>
      <c r="AI20" s="210">
        <f>AI19+AI17+AI15</f>
        <v>96790.35</v>
      </c>
      <c r="AJ20" s="210">
        <f>AJ19+AJ17+AJ15</f>
        <v>1233572.67</v>
      </c>
    </row>
    <row r="21" spans="1:36">
      <c r="P21" s="51"/>
      <c r="S21" s="51"/>
      <c r="U21"/>
      <c r="V21"/>
      <c r="W21"/>
      <c r="X21"/>
      <c r="Y21"/>
      <c r="Z21"/>
      <c r="AJ21" s="99"/>
    </row>
    <row r="22" spans="1:36" ht="14" thickBot="1">
      <c r="A22" s="157" t="s">
        <v>122</v>
      </c>
      <c r="B22" s="55">
        <f>B10-B20</f>
        <v>409258.0700000003</v>
      </c>
      <c r="C22" s="56">
        <f t="shared" ref="C22:R22" si="4">C10-C20</f>
        <v>609549</v>
      </c>
      <c r="D22" s="57">
        <f>D10-D20+D24</f>
        <v>336610.25200000004</v>
      </c>
      <c r="E22" s="55">
        <f t="shared" si="4"/>
        <v>270311.41345544299</v>
      </c>
      <c r="F22" s="56">
        <f t="shared" si="4"/>
        <v>604919.63073794357</v>
      </c>
      <c r="G22" s="57">
        <f t="shared" si="4"/>
        <v>447683.81000000029</v>
      </c>
      <c r="H22" s="55">
        <f t="shared" si="4"/>
        <v>695941.84621520306</v>
      </c>
      <c r="I22" s="56">
        <f t="shared" si="4"/>
        <v>1026386.6107379432</v>
      </c>
      <c r="J22" s="109">
        <f t="shared" si="4"/>
        <v>50282.918899999553</v>
      </c>
      <c r="K22" s="55">
        <f t="shared" si="4"/>
        <v>800883.28462105582</v>
      </c>
      <c r="L22" s="56">
        <f t="shared" si="4"/>
        <v>1068302.461504939</v>
      </c>
      <c r="M22" s="57">
        <f t="shared" si="4"/>
        <v>426658.57600000064</v>
      </c>
      <c r="N22" s="55">
        <f t="shared" si="4"/>
        <v>818928.50251534593</v>
      </c>
      <c r="O22" s="56">
        <f t="shared" si="4"/>
        <v>1083218.3607379431</v>
      </c>
      <c r="P22" s="57">
        <f t="shared" si="4"/>
        <v>703493.97899999982</v>
      </c>
      <c r="Q22" s="55">
        <f t="shared" si="4"/>
        <v>2586065.0468070488</v>
      </c>
      <c r="R22" s="56">
        <f t="shared" si="4"/>
        <v>3782827.0637187697</v>
      </c>
      <c r="S22" s="57">
        <f t="shared" ref="S22:AH22" si="5">S10-S20</f>
        <v>1628119.2839000011</v>
      </c>
      <c r="T22" s="56"/>
      <c r="U22" s="226">
        <f t="shared" si="5"/>
        <v>-66942.679999999935</v>
      </c>
      <c r="V22" s="226">
        <f t="shared" si="5"/>
        <v>211735.49400000018</v>
      </c>
      <c r="W22" s="226">
        <f t="shared" si="5"/>
        <v>191817.43799999991</v>
      </c>
      <c r="X22" s="226">
        <f t="shared" si="5"/>
        <v>131088.30000000016</v>
      </c>
      <c r="Y22" s="226">
        <f t="shared" si="5"/>
        <v>62163.73000000004</v>
      </c>
      <c r="Z22" s="226">
        <f t="shared" si="5"/>
        <v>58138.479999999952</v>
      </c>
      <c r="AA22" s="141">
        <f t="shared" si="5"/>
        <v>-135352.99</v>
      </c>
      <c r="AB22" s="141">
        <f t="shared" si="5"/>
        <v>108679.46999999993</v>
      </c>
      <c r="AC22" s="141">
        <f t="shared" si="5"/>
        <v>-101016.97999999979</v>
      </c>
      <c r="AD22" s="141">
        <f t="shared" si="5"/>
        <v>-10580.70799999981</v>
      </c>
      <c r="AE22" s="141">
        <f t="shared" si="5"/>
        <v>85819.590000000113</v>
      </c>
      <c r="AF22" s="141">
        <f t="shared" si="5"/>
        <v>124394.29999999999</v>
      </c>
      <c r="AG22" s="141">
        <f t="shared" si="5"/>
        <v>238253.25000000023</v>
      </c>
      <c r="AH22" s="141">
        <f t="shared" si="5"/>
        <v>105434.2999999999</v>
      </c>
      <c r="AI22" s="141">
        <f>AI10-AI20</f>
        <v>112469.53000000012</v>
      </c>
      <c r="AJ22" s="101">
        <f>SUM(X22:AI22)</f>
        <v>779490.27200000093</v>
      </c>
    </row>
    <row r="23" spans="1:36" ht="14" thickBot="1">
      <c r="A23" s="163" t="s">
        <v>123</v>
      </c>
      <c r="B23" s="68">
        <f t="array" ref="B23:AI23">'90'!$B$23:$AI$23</f>
        <v>295000</v>
      </c>
      <c r="C23" s="69">
        <v>280000</v>
      </c>
      <c r="D23" s="70">
        <v>302757.06</v>
      </c>
      <c r="E23" s="68">
        <v>160000</v>
      </c>
      <c r="F23" s="69">
        <v>140000</v>
      </c>
      <c r="G23" s="70">
        <v>164369.04</v>
      </c>
      <c r="H23" s="68">
        <v>150000</v>
      </c>
      <c r="I23" s="69">
        <v>130000</v>
      </c>
      <c r="J23" s="116">
        <v>194784.75999999998</v>
      </c>
      <c r="K23" s="68">
        <v>140000</v>
      </c>
      <c r="L23" s="69">
        <v>120000</v>
      </c>
      <c r="M23" s="70">
        <v>171364.32</v>
      </c>
      <c r="N23" s="68">
        <v>140000</v>
      </c>
      <c r="O23" s="69">
        <v>110000</v>
      </c>
      <c r="P23" s="70">
        <v>180137.26</v>
      </c>
      <c r="Q23" s="68">
        <v>590000</v>
      </c>
      <c r="R23" s="69">
        <v>500000</v>
      </c>
      <c r="S23" s="70">
        <v>710655.38</v>
      </c>
      <c r="T23" s="69">
        <v>0</v>
      </c>
      <c r="U23" s="139">
        <v>224039.52</v>
      </c>
      <c r="V23" s="139">
        <v>41607.11</v>
      </c>
      <c r="W23" s="139">
        <v>37110.43</v>
      </c>
      <c r="X23" s="139">
        <v>53983.68</v>
      </c>
      <c r="Y23" s="139">
        <v>53983.68</v>
      </c>
      <c r="Z23" s="139">
        <v>56401.68</v>
      </c>
      <c r="AA23" s="105">
        <v>81899.149999999994</v>
      </c>
      <c r="AB23" s="105">
        <v>57450.68</v>
      </c>
      <c r="AC23" s="105">
        <v>55434.93</v>
      </c>
      <c r="AD23" s="105">
        <v>60653.8</v>
      </c>
      <c r="AE23" s="105">
        <v>55489.67</v>
      </c>
      <c r="AF23" s="105">
        <v>55220.85</v>
      </c>
      <c r="AG23" s="105">
        <v>55702.79</v>
      </c>
      <c r="AH23" s="105">
        <v>62007.34</v>
      </c>
      <c r="AI23" s="105">
        <v>62427.13</v>
      </c>
      <c r="AJ23" s="105">
        <f t="array" ref="AJ23">'90'!$B$23:$AI$23</f>
        <v>295000</v>
      </c>
    </row>
    <row r="24" spans="1:36">
      <c r="A24" s="375" t="s">
        <v>124</v>
      </c>
      <c r="B24" s="146"/>
      <c r="C24" s="147"/>
      <c r="D24" s="374">
        <f>D51</f>
        <v>-15609.179999999993</v>
      </c>
      <c r="E24" s="146"/>
      <c r="F24" s="147"/>
      <c r="G24" s="374">
        <f>G51</f>
        <v>-196293.3</v>
      </c>
      <c r="H24" s="146"/>
      <c r="I24" s="147"/>
      <c r="J24" s="374">
        <f>J51</f>
        <v>-177973.41889999999</v>
      </c>
      <c r="K24" s="146"/>
      <c r="L24" s="147"/>
      <c r="M24" s="374">
        <f>M51</f>
        <v>-206779.88400000002</v>
      </c>
      <c r="N24" s="146"/>
      <c r="O24" s="147"/>
      <c r="P24" s="148"/>
      <c r="Q24" s="146"/>
      <c r="R24" s="147"/>
      <c r="S24" s="148"/>
      <c r="T24" s="149"/>
      <c r="U24" s="225"/>
      <c r="V24" s="225"/>
      <c r="W24" s="225"/>
      <c r="X24" s="225"/>
      <c r="Y24" s="225"/>
      <c r="Z24" s="225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</row>
    <row r="25" spans="1:36" ht="14" thickBot="1">
      <c r="A25" s="164" t="s">
        <v>125</v>
      </c>
      <c r="B25" s="63">
        <f>B22-B23</f>
        <v>114258.0700000003</v>
      </c>
      <c r="C25" s="64">
        <f t="shared" ref="C25:R25" si="6">C22-C23</f>
        <v>329549</v>
      </c>
      <c r="D25" s="65">
        <f>D22-D23+D24</f>
        <v>18244.012000000046</v>
      </c>
      <c r="E25" s="63">
        <f t="shared" si="6"/>
        <v>110311.41345544299</v>
      </c>
      <c r="F25" s="64">
        <f t="shared" si="6"/>
        <v>464919.63073794357</v>
      </c>
      <c r="G25" s="65">
        <f>G22-G23+G24</f>
        <v>87021.470000000263</v>
      </c>
      <c r="H25" s="63">
        <f t="shared" si="6"/>
        <v>545941.84621520306</v>
      </c>
      <c r="I25" s="64">
        <f t="shared" si="6"/>
        <v>896386.61073794321</v>
      </c>
      <c r="J25" s="79">
        <f t="shared" si="6"/>
        <v>-144501.84110000043</v>
      </c>
      <c r="K25" s="63">
        <f t="shared" si="6"/>
        <v>660883.28462105582</v>
      </c>
      <c r="L25" s="64">
        <f t="shared" si="6"/>
        <v>948302.46150493901</v>
      </c>
      <c r="M25" s="65">
        <f t="shared" si="6"/>
        <v>255294.25600000063</v>
      </c>
      <c r="N25" s="63">
        <f t="shared" si="6"/>
        <v>678928.50251534593</v>
      </c>
      <c r="O25" s="64">
        <f t="shared" si="6"/>
        <v>973218.36073794309</v>
      </c>
      <c r="P25" s="65">
        <f t="shared" si="6"/>
        <v>523356.71899999981</v>
      </c>
      <c r="Q25" s="63">
        <f t="shared" si="6"/>
        <v>1996065.0468070488</v>
      </c>
      <c r="R25" s="64">
        <f t="shared" si="6"/>
        <v>3282827.0637187697</v>
      </c>
      <c r="S25" s="65">
        <f>S22-S23</f>
        <v>917463.90390000108</v>
      </c>
      <c r="T25" s="66"/>
      <c r="U25" s="211">
        <f t="shared" ref="U25:AJ25" si="7">U22+U24-U23</f>
        <v>-290982.19999999995</v>
      </c>
      <c r="V25" s="211">
        <f t="shared" si="7"/>
        <v>170128.38400000019</v>
      </c>
      <c r="W25" s="211">
        <f t="shared" si="7"/>
        <v>154707.00799999991</v>
      </c>
      <c r="X25" s="211">
        <f t="shared" si="7"/>
        <v>77104.62000000017</v>
      </c>
      <c r="Y25" s="211">
        <f t="shared" si="7"/>
        <v>8180.0500000000393</v>
      </c>
      <c r="Z25" s="211">
        <f t="shared" si="7"/>
        <v>1736.799999999952</v>
      </c>
      <c r="AA25" s="143">
        <f t="shared" si="7"/>
        <v>-217252.13999999998</v>
      </c>
      <c r="AB25" s="143">
        <f t="shared" si="7"/>
        <v>51228.789999999928</v>
      </c>
      <c r="AC25" s="143">
        <f t="shared" si="7"/>
        <v>-156451.9099999998</v>
      </c>
      <c r="AD25" s="143">
        <f t="shared" si="7"/>
        <v>-71234.507999999812</v>
      </c>
      <c r="AE25" s="143">
        <f t="shared" si="7"/>
        <v>30329.920000000115</v>
      </c>
      <c r="AF25" s="143">
        <f t="shared" si="7"/>
        <v>69173.449999999983</v>
      </c>
      <c r="AG25" s="143">
        <f t="shared" si="7"/>
        <v>182550.46000000022</v>
      </c>
      <c r="AH25" s="143">
        <f t="shared" si="7"/>
        <v>43426.959999999905</v>
      </c>
      <c r="AI25" s="143">
        <f t="shared" si="7"/>
        <v>50042.400000000118</v>
      </c>
      <c r="AJ25" s="143">
        <f t="shared" si="7"/>
        <v>484490.27200000093</v>
      </c>
    </row>
    <row r="26" spans="1:36">
      <c r="A26" s="165" t="s">
        <v>126</v>
      </c>
      <c r="B26" s="49"/>
      <c r="C26" s="50"/>
      <c r="D26" s="51"/>
      <c r="E26" s="49"/>
      <c r="F26" s="50"/>
      <c r="G26" s="51"/>
      <c r="H26" s="49"/>
      <c r="I26" s="50"/>
      <c r="J26" s="51"/>
      <c r="K26" s="49"/>
      <c r="L26" s="50"/>
      <c r="M26" s="51"/>
      <c r="N26" s="49"/>
      <c r="O26" s="50"/>
      <c r="P26" s="51"/>
      <c r="Q26" s="82"/>
      <c r="R26" s="50"/>
      <c r="S26" s="92"/>
      <c r="U26" s="382"/>
      <c r="V26" s="383"/>
      <c r="W26" s="383"/>
      <c r="X26" s="383"/>
      <c r="Y26" s="383"/>
      <c r="Z26" s="384"/>
    </row>
    <row r="27" spans="1:36">
      <c r="A27" s="152" t="s">
        <v>127</v>
      </c>
      <c r="B27" s="11">
        <v>0.42</v>
      </c>
      <c r="C27" s="40">
        <v>0.42</v>
      </c>
      <c r="D27" s="44">
        <v>0.42</v>
      </c>
      <c r="E27" s="11">
        <v>0.42</v>
      </c>
      <c r="F27" s="40">
        <v>0.42</v>
      </c>
      <c r="G27" s="44">
        <v>0.42</v>
      </c>
      <c r="H27" s="11">
        <v>0.42</v>
      </c>
      <c r="I27" s="40">
        <v>0.42</v>
      </c>
      <c r="J27" s="44">
        <v>0.42</v>
      </c>
      <c r="K27" s="11">
        <v>0.42</v>
      </c>
      <c r="L27" s="40">
        <v>0.42</v>
      </c>
      <c r="M27" s="44">
        <v>0.42</v>
      </c>
      <c r="N27" s="11">
        <v>0.42</v>
      </c>
      <c r="O27" s="40">
        <v>0.42</v>
      </c>
      <c r="P27" s="44">
        <v>0.42</v>
      </c>
      <c r="Q27" s="46"/>
      <c r="R27" s="9"/>
      <c r="S27" s="91"/>
      <c r="T27" s="234" t="s">
        <v>128</v>
      </c>
      <c r="U27" s="376">
        <v>-294313.34999999998</v>
      </c>
      <c r="V27" s="377">
        <v>203722.02</v>
      </c>
      <c r="W27" s="377">
        <v>188981.84</v>
      </c>
      <c r="X27" s="377">
        <v>82208.009999999995</v>
      </c>
      <c r="Y27" s="377">
        <v>18570.330000000002</v>
      </c>
      <c r="Z27" s="378">
        <v>25463.66</v>
      </c>
      <c r="AA27" s="143">
        <v>-199218.13</v>
      </c>
      <c r="AB27" s="143">
        <v>76140.7</v>
      </c>
      <c r="AC27" s="143">
        <v>-87956.07</v>
      </c>
      <c r="AD27" s="143">
        <v>51783.45</v>
      </c>
    </row>
    <row r="28" spans="1:36">
      <c r="A28" s="451" t="s">
        <v>129</v>
      </c>
      <c r="B28" s="11"/>
      <c r="C28" s="40"/>
      <c r="D28" s="44"/>
      <c r="E28" s="11"/>
      <c r="F28" s="40"/>
      <c r="G28" s="44"/>
      <c r="H28" s="11"/>
      <c r="I28" s="40"/>
      <c r="J28" s="44"/>
      <c r="K28" s="11"/>
      <c r="L28" s="40"/>
      <c r="M28" s="44"/>
      <c r="N28" s="11"/>
      <c r="O28" s="40"/>
      <c r="P28" s="44"/>
      <c r="Q28" s="46"/>
      <c r="R28" s="9"/>
      <c r="S28" s="91"/>
      <c r="T28" s="234" t="s">
        <v>130</v>
      </c>
      <c r="U28" s="379">
        <f>[2]UK!AN$10</f>
        <v>1681.0500000000029</v>
      </c>
      <c r="V28" s="380">
        <f>[2]UK!AO$10</f>
        <v>-21700.809999999998</v>
      </c>
      <c r="W28" s="380">
        <f>[2]UK!AP$10</f>
        <v>-15209.720000000001</v>
      </c>
      <c r="X28" s="380">
        <f>[2]UK!AQ10</f>
        <v>-3191</v>
      </c>
      <c r="Y28" s="380">
        <f>[2]UK!AR10</f>
        <v>-6495</v>
      </c>
      <c r="Z28" s="381">
        <f>[2]UK!AS10</f>
        <v>-14829</v>
      </c>
      <c r="AA28" s="143">
        <f>[2]UK!AT$10</f>
        <v>-11272</v>
      </c>
      <c r="AB28" s="143">
        <f>[2]UK!AU$10</f>
        <v>-15570</v>
      </c>
      <c r="AC28" s="143">
        <f>[2]UK!AV$10</f>
        <v>-42810</v>
      </c>
      <c r="AD28" s="143">
        <f>[2]UK!AW$10</f>
        <v>-86295.63</v>
      </c>
      <c r="AE28" s="142">
        <f>[2]UK!AX$10</f>
        <v>-5303</v>
      </c>
      <c r="AF28" s="142">
        <f>[2]UK!AY$10</f>
        <v>-909</v>
      </c>
      <c r="AG28" s="142">
        <f>[2]UK!AZ$10</f>
        <v>14272</v>
      </c>
      <c r="AH28" s="142">
        <f>[2]UK!BA$10</f>
        <v>0</v>
      </c>
      <c r="AI28" s="142">
        <f>[2]UK!BB$10</f>
        <v>0</v>
      </c>
      <c r="AJ28" s="142"/>
    </row>
    <row r="29" spans="1:36">
      <c r="A29" s="179" t="s">
        <v>131</v>
      </c>
      <c r="B29" s="11"/>
      <c r="C29" s="40"/>
      <c r="D29" s="44"/>
      <c r="E29" s="11"/>
      <c r="F29" s="40"/>
      <c r="G29" s="44"/>
      <c r="H29" s="11"/>
      <c r="I29" s="40"/>
      <c r="J29" s="44"/>
      <c r="K29" s="11"/>
      <c r="L29" s="40"/>
      <c r="M29" s="44"/>
      <c r="N29" s="11"/>
      <c r="O29" s="40"/>
      <c r="P29" s="44"/>
      <c r="Q29" s="46"/>
      <c r="R29" s="9"/>
      <c r="S29" s="91"/>
      <c r="T29" s="179" t="s">
        <v>131</v>
      </c>
      <c r="U29" s="376">
        <f t="shared" ref="U29:AA29" si="8">U28*1.6</f>
        <v>2689.6800000000048</v>
      </c>
      <c r="V29" s="377">
        <f t="shared" si="8"/>
        <v>-34721.295999999995</v>
      </c>
      <c r="W29" s="377">
        <f t="shared" si="8"/>
        <v>-24335.552000000003</v>
      </c>
      <c r="X29" s="377">
        <f t="shared" si="8"/>
        <v>-5105.6000000000004</v>
      </c>
      <c r="Y29" s="377">
        <f t="shared" si="8"/>
        <v>-10392</v>
      </c>
      <c r="Z29" s="378">
        <f t="shared" si="8"/>
        <v>-23726.400000000001</v>
      </c>
      <c r="AA29" s="143">
        <f t="shared" si="8"/>
        <v>-18035.2</v>
      </c>
      <c r="AB29" s="143">
        <f t="shared" ref="AB29:AI29" si="9">AB28*1.6</f>
        <v>-24912</v>
      </c>
      <c r="AC29" s="143">
        <f t="shared" si="9"/>
        <v>-68496</v>
      </c>
      <c r="AD29" s="143">
        <f t="shared" si="9"/>
        <v>-138073.008</v>
      </c>
      <c r="AE29">
        <f t="shared" si="9"/>
        <v>-8484.8000000000011</v>
      </c>
      <c r="AF29">
        <f t="shared" si="9"/>
        <v>-1454.4</v>
      </c>
      <c r="AG29">
        <f t="shared" si="9"/>
        <v>22835.200000000001</v>
      </c>
      <c r="AH29">
        <f t="shared" si="9"/>
        <v>0</v>
      </c>
      <c r="AI29">
        <f t="shared" si="9"/>
        <v>0</v>
      </c>
    </row>
    <row r="30" spans="1:36" ht="14" thickBot="1">
      <c r="A30" s="166" t="s">
        <v>132</v>
      </c>
      <c r="B30" s="49">
        <f>IF(B25&lt;0,"NA",B25*(1-B27))</f>
        <v>66269.680600000182</v>
      </c>
      <c r="C30" s="50">
        <f t="shared" ref="C30:P30" si="10">IF(C25&lt;0,"NA",C25*(1-C27))</f>
        <v>191138.42</v>
      </c>
      <c r="D30" s="51">
        <f t="shared" si="10"/>
        <v>10581.526960000028</v>
      </c>
      <c r="E30" s="49">
        <f t="shared" si="10"/>
        <v>63980.619804156944</v>
      </c>
      <c r="F30" s="50">
        <f t="shared" si="10"/>
        <v>269653.3858280073</v>
      </c>
      <c r="G30" s="51">
        <f t="shared" si="10"/>
        <v>50472.452600000157</v>
      </c>
      <c r="H30" s="49">
        <f t="shared" si="10"/>
        <v>316646.27080481779</v>
      </c>
      <c r="I30" s="50">
        <f t="shared" si="10"/>
        <v>519904.23422800715</v>
      </c>
      <c r="J30" s="51" t="str">
        <f t="shared" si="10"/>
        <v>NA</v>
      </c>
      <c r="K30" s="49">
        <f t="shared" si="10"/>
        <v>383312.30508021242</v>
      </c>
      <c r="L30" s="50">
        <f t="shared" si="10"/>
        <v>550015.42767286464</v>
      </c>
      <c r="M30" s="51">
        <f t="shared" si="10"/>
        <v>148070.6684800004</v>
      </c>
      <c r="N30" s="49">
        <f t="shared" si="10"/>
        <v>393778.53145890066</v>
      </c>
      <c r="O30" s="50">
        <f t="shared" si="10"/>
        <v>564466.64922800707</v>
      </c>
      <c r="P30" s="51">
        <f t="shared" si="10"/>
        <v>303546.89701999992</v>
      </c>
      <c r="Q30" s="82"/>
      <c r="R30" s="50"/>
      <c r="S30" s="92"/>
      <c r="T30" s="179" t="s">
        <v>133</v>
      </c>
      <c r="U30" s="385">
        <f>U25-U27-U29</f>
        <v>641.47000000001844</v>
      </c>
      <c r="V30" s="386">
        <f t="shared" ref="V30:AJ30" si="11">V25-V27-V29</f>
        <v>1127.6600000001999</v>
      </c>
      <c r="W30" s="386">
        <f t="shared" si="11"/>
        <v>-9939.2800000000789</v>
      </c>
      <c r="X30" s="386">
        <f t="shared" si="11"/>
        <v>2.2100000001755689</v>
      </c>
      <c r="Y30" s="386">
        <f t="shared" si="11"/>
        <v>1.7200000000375439</v>
      </c>
      <c r="Z30" s="387">
        <f t="shared" si="11"/>
        <v>-0.46000000004642061</v>
      </c>
      <c r="AA30">
        <f t="shared" si="11"/>
        <v>1.1900000000205182</v>
      </c>
      <c r="AB30">
        <f t="shared" si="11"/>
        <v>8.9999999931023922E-2</v>
      </c>
      <c r="AC30">
        <f t="shared" si="11"/>
        <v>0.16000000020721927</v>
      </c>
      <c r="AD30">
        <f t="shared" si="11"/>
        <v>15055.050000000192</v>
      </c>
      <c r="AE30">
        <f t="shared" si="11"/>
        <v>38814.720000000118</v>
      </c>
      <c r="AF30">
        <f t="shared" si="11"/>
        <v>70627.849999999977</v>
      </c>
      <c r="AG30">
        <f t="shared" si="11"/>
        <v>159715.26000000021</v>
      </c>
      <c r="AH30">
        <f t="shared" si="11"/>
        <v>43426.959999999905</v>
      </c>
      <c r="AI30">
        <f t="shared" si="11"/>
        <v>50042.400000000118</v>
      </c>
      <c r="AJ30">
        <f t="shared" si="11"/>
        <v>484490.27200000093</v>
      </c>
    </row>
    <row r="31" spans="1:36">
      <c r="A31" s="167" t="s">
        <v>134</v>
      </c>
      <c r="B31" s="11"/>
      <c r="C31" s="40"/>
      <c r="D31" s="51">
        <f t="shared" ref="D31:D36" si="12">AVERAGE(U31,V31,W31)</f>
        <v>2649452.6433333331</v>
      </c>
      <c r="E31" s="11"/>
      <c r="F31" s="40"/>
      <c r="G31" s="51">
        <f t="shared" ref="G31:G36" si="13">AVERAGE(X31,Y31,Z31)</f>
        <v>2263808.9499999997</v>
      </c>
      <c r="H31" s="11"/>
      <c r="I31" s="40"/>
      <c r="J31" s="44"/>
      <c r="K31" s="11"/>
      <c r="L31" s="40"/>
      <c r="M31" s="44"/>
      <c r="N31" s="11"/>
      <c r="O31" s="40"/>
      <c r="P31" s="44"/>
      <c r="Q31" s="46"/>
      <c r="R31" s="9"/>
      <c r="S31" s="91"/>
      <c r="T31" s="52"/>
      <c r="U31" s="144">
        <f>2612672.76+74591</f>
        <v>2687263.76</v>
      </c>
      <c r="V31" s="144">
        <f>2670250.02+41263</f>
        <v>2711513.02</v>
      </c>
      <c r="W31" s="144">
        <f>2514329+35252.15</f>
        <v>2549581.15</v>
      </c>
      <c r="X31" s="144">
        <f>2272566.85+62444</f>
        <v>2335010.85</v>
      </c>
      <c r="Y31" s="144">
        <v>2351192</v>
      </c>
      <c r="Z31" s="144">
        <f>2105224</f>
        <v>2105224</v>
      </c>
    </row>
    <row r="32" spans="1:36">
      <c r="A32" s="155" t="s">
        <v>135</v>
      </c>
      <c r="B32" s="11"/>
      <c r="C32" s="9"/>
      <c r="D32" s="50">
        <f t="shared" si="12"/>
        <v>223765.81333333332</v>
      </c>
      <c r="E32" s="11"/>
      <c r="F32" s="9"/>
      <c r="G32" s="50">
        <f t="shared" si="13"/>
        <v>235074.91333333333</v>
      </c>
      <c r="H32" s="11"/>
      <c r="I32" s="9"/>
      <c r="J32" s="9"/>
      <c r="K32" s="11"/>
      <c r="L32" s="9"/>
      <c r="M32" s="9"/>
      <c r="N32" s="11"/>
      <c r="O32" s="9"/>
      <c r="P32" s="44"/>
      <c r="Q32" s="46"/>
      <c r="R32" s="9"/>
      <c r="S32" s="91"/>
      <c r="U32" s="144">
        <v>211889.29</v>
      </c>
      <c r="V32" s="144">
        <v>225179.3</v>
      </c>
      <c r="W32" s="144">
        <v>234228.85</v>
      </c>
      <c r="X32" s="144">
        <v>243620.74</v>
      </c>
      <c r="Y32" s="144">
        <v>228433</v>
      </c>
      <c r="Z32" s="144">
        <v>233171</v>
      </c>
    </row>
    <row r="33" spans="1:35">
      <c r="A33" s="155" t="s">
        <v>136</v>
      </c>
      <c r="B33" s="11"/>
      <c r="C33" s="9"/>
      <c r="D33" s="50">
        <f t="shared" si="12"/>
        <v>6401169.2333333343</v>
      </c>
      <c r="E33" s="11"/>
      <c r="F33" s="9"/>
      <c r="G33" s="50">
        <f t="shared" si="13"/>
        <v>6203622.333333333</v>
      </c>
      <c r="H33" s="11"/>
      <c r="I33" s="9"/>
      <c r="J33" s="9"/>
      <c r="K33" s="11"/>
      <c r="L33" s="9"/>
      <c r="M33" s="9"/>
      <c r="N33" s="11"/>
      <c r="O33" s="9"/>
      <c r="P33" s="44"/>
      <c r="Q33" s="46"/>
      <c r="R33" s="9"/>
      <c r="S33" s="91"/>
      <c r="U33" s="144">
        <v>6473866.9000000004</v>
      </c>
      <c r="V33" s="144">
        <v>6403954.3099999996</v>
      </c>
      <c r="W33" s="144">
        <v>6325686.4900000002</v>
      </c>
      <c r="X33" s="144">
        <v>6261776</v>
      </c>
      <c r="Y33" s="144">
        <f>6210099</f>
        <v>6210099</v>
      </c>
      <c r="Z33" s="144">
        <v>6138992</v>
      </c>
    </row>
    <row r="34" spans="1:35">
      <c r="A34" s="155" t="s">
        <v>137</v>
      </c>
      <c r="B34" s="11"/>
      <c r="C34" s="9"/>
      <c r="D34" s="50">
        <f t="shared" si="12"/>
        <v>3253480.956666667</v>
      </c>
      <c r="E34" s="11"/>
      <c r="F34" s="9"/>
      <c r="G34" s="50">
        <f t="shared" si="13"/>
        <v>2448678.4333333331</v>
      </c>
      <c r="H34" s="11"/>
      <c r="I34" s="9"/>
      <c r="J34" s="9"/>
      <c r="K34" s="11"/>
      <c r="L34" s="9"/>
      <c r="M34" s="9"/>
      <c r="N34" s="11"/>
      <c r="O34" s="9"/>
      <c r="P34" s="44"/>
      <c r="Q34" s="46"/>
      <c r="R34" s="9"/>
      <c r="S34" s="91"/>
      <c r="U34" s="144">
        <v>3913357.33</v>
      </c>
      <c r="V34" s="144">
        <v>3416103.38</v>
      </c>
      <c r="W34" s="144">
        <v>2430982.16</v>
      </c>
      <c r="X34" s="144">
        <v>2288826.2999999998</v>
      </c>
      <c r="Y34" s="144">
        <v>2310417</v>
      </c>
      <c r="Z34" s="144">
        <v>2746792</v>
      </c>
    </row>
    <row r="35" spans="1:35">
      <c r="A35" s="168" t="s">
        <v>138</v>
      </c>
      <c r="B35" s="11"/>
      <c r="C35" s="9"/>
      <c r="D35" s="50">
        <f t="shared" si="12"/>
        <v>915365.83000000007</v>
      </c>
      <c r="E35" s="11"/>
      <c r="F35" s="9"/>
      <c r="G35" s="50">
        <f t="shared" si="13"/>
        <v>935236.20666666667</v>
      </c>
      <c r="H35" s="11"/>
      <c r="I35" s="9"/>
      <c r="J35" s="9"/>
      <c r="K35" s="11"/>
      <c r="L35" s="9"/>
      <c r="M35" s="9"/>
      <c r="N35" s="11"/>
      <c r="O35" s="9"/>
      <c r="P35" s="44"/>
      <c r="Q35" s="46"/>
      <c r="R35" s="9"/>
      <c r="S35" s="91"/>
      <c r="T35" t="s">
        <v>139</v>
      </c>
      <c r="U35" s="144">
        <v>882428.16</v>
      </c>
      <c r="V35" s="144">
        <v>931765</v>
      </c>
      <c r="W35" s="144">
        <v>931904.33</v>
      </c>
      <c r="X35" s="144">
        <v>933903.62</v>
      </c>
      <c r="Y35" s="144">
        <v>934903</v>
      </c>
      <c r="Z35" s="144">
        <v>936902</v>
      </c>
    </row>
    <row r="36" spans="1:35" ht="39">
      <c r="A36" s="169" t="s">
        <v>140</v>
      </c>
      <c r="B36" s="8">
        <f>Testing!B24+Equipment!B25+Process!B26+Instruments!B26</f>
        <v>0</v>
      </c>
      <c r="C36" s="31">
        <f>Testing!C24+Equipment!C25+Process!C26+Instruments!C26</f>
        <v>0</v>
      </c>
      <c r="D36" s="257">
        <f t="shared" si="12"/>
        <v>6936272.5633333325</v>
      </c>
      <c r="E36" s="8">
        <f>Testing!E24+Equipment!E25+Process!E26+Instruments!E26</f>
        <v>0</v>
      </c>
      <c r="F36" s="9">
        <f>Testing!F24+Equipment!F25+Process!F26+Instruments!F26</f>
        <v>0</v>
      </c>
      <c r="G36" s="257">
        <f t="shared" si="13"/>
        <v>7189063.9699999997</v>
      </c>
      <c r="H36" s="8">
        <f>Testing!H24+Equipment!H25+Process!H26+Instruments!H26</f>
        <v>0</v>
      </c>
      <c r="I36" s="9">
        <f>Testing!I24+Equipment!I25+Process!I26+Instruments!I26</f>
        <v>0</v>
      </c>
      <c r="J36" s="10">
        <f>Testing!J24+Equipment!J25+Process!J26+Instruments!J26</f>
        <v>0</v>
      </c>
      <c r="K36" s="8">
        <f>Testing!K24+Equipment!K25+Process!K26+Instruments!K26</f>
        <v>0</v>
      </c>
      <c r="L36" s="9">
        <f>Testing!L24+Equipment!L25+Process!L26+Instruments!L26</f>
        <v>0</v>
      </c>
      <c r="M36" s="10">
        <f>Testing!M24+Equipment!M25+Process!M26+Instruments!M26</f>
        <v>0</v>
      </c>
      <c r="N36" s="8">
        <f>Testing!N24+Equipment!N25+Process!N26+Instruments!N26</f>
        <v>0</v>
      </c>
      <c r="O36" s="9">
        <f>Testing!O24+Equipment!O25+Process!O26+Instruments!O26</f>
        <v>0</v>
      </c>
      <c r="P36" s="10">
        <f>Testing!P24+Equipment!P25+Process!P26+Instruments!P26</f>
        <v>0</v>
      </c>
      <c r="Q36" s="46"/>
      <c r="R36" s="9"/>
      <c r="S36" s="87"/>
      <c r="U36" s="211">
        <f>U31+U32+U33+U35-U34</f>
        <v>6342090.7799999993</v>
      </c>
      <c r="V36" s="211">
        <f t="shared" ref="V36:AI36" si="14">V31+V32+V33+V35-V34</f>
        <v>6856308.2499999991</v>
      </c>
      <c r="W36" s="211">
        <f t="shared" si="14"/>
        <v>7610418.6600000001</v>
      </c>
      <c r="X36" s="211">
        <f t="shared" si="14"/>
        <v>7485484.9099999992</v>
      </c>
      <c r="Y36" s="211">
        <f t="shared" si="14"/>
        <v>7414210</v>
      </c>
      <c r="Z36" s="211">
        <f t="shared" si="14"/>
        <v>6667497</v>
      </c>
      <c r="AA36" s="143">
        <f t="shared" si="14"/>
        <v>0</v>
      </c>
      <c r="AB36" s="143">
        <f t="shared" si="14"/>
        <v>0</v>
      </c>
      <c r="AC36" s="143">
        <f t="shared" si="14"/>
        <v>0</v>
      </c>
      <c r="AD36" s="143">
        <f t="shared" si="14"/>
        <v>0</v>
      </c>
      <c r="AE36" s="143">
        <f t="shared" si="14"/>
        <v>0</v>
      </c>
      <c r="AF36" s="143">
        <f t="shared" si="14"/>
        <v>0</v>
      </c>
      <c r="AG36" s="143">
        <f t="shared" si="14"/>
        <v>0</v>
      </c>
      <c r="AH36" s="143">
        <f t="shared" si="14"/>
        <v>0</v>
      </c>
      <c r="AI36" s="143">
        <f t="shared" si="14"/>
        <v>0</v>
      </c>
    </row>
    <row r="37" spans="1:35">
      <c r="A37" s="169"/>
      <c r="B37" s="8">
        <f>Testing!B25+Equipment!B26+Process!B27+Instruments!B27</f>
        <v>0</v>
      </c>
      <c r="C37" s="31">
        <f>Testing!C25+Equipment!C26+Process!C27+Instruments!C27</f>
        <v>0</v>
      </c>
      <c r="D37" s="10">
        <f>Testing!D25+Equipment!D26+Process!D27+Instruments!D27</f>
        <v>0</v>
      </c>
      <c r="E37" s="8">
        <f>Testing!E25+Equipment!E26+Process!E27+Instruments!E27</f>
        <v>0</v>
      </c>
      <c r="F37" s="9">
        <f>Testing!F25+Equipment!F26+Process!F27+Instruments!F27</f>
        <v>0</v>
      </c>
      <c r="G37" s="10">
        <f>Testing!G25+Equipment!G26+Process!G27+Instruments!G27</f>
        <v>0</v>
      </c>
      <c r="H37" s="8">
        <f>Testing!H25+Equipment!H26+Process!H27+Instruments!H27</f>
        <v>0</v>
      </c>
      <c r="I37" s="9">
        <f>Testing!I25+Equipment!I26+Process!I27+Instruments!I27</f>
        <v>0</v>
      </c>
      <c r="J37" s="10">
        <f>Testing!J25+Equipment!J26+Process!J27+Instruments!J27</f>
        <v>0</v>
      </c>
      <c r="K37" s="8">
        <f>Testing!K25+Equipment!K26+Process!K27+Instruments!K27</f>
        <v>0</v>
      </c>
      <c r="L37" s="9">
        <f>Testing!L25+Equipment!L26+Process!L27+Instruments!L27</f>
        <v>0</v>
      </c>
      <c r="M37" s="10">
        <f>Testing!M25+Equipment!M26+Process!M27+Instruments!M27</f>
        <v>0</v>
      </c>
      <c r="N37" s="8">
        <f>Testing!N25+Equipment!N26+Process!N27+Instruments!N27</f>
        <v>0</v>
      </c>
      <c r="O37" s="9">
        <f>Testing!O25+Equipment!O26+Process!O27+Instruments!O27</f>
        <v>0</v>
      </c>
      <c r="P37" s="10">
        <f>Testing!P25+Equipment!P26+Process!P27+Instruments!P27</f>
        <v>0</v>
      </c>
      <c r="Q37" s="46"/>
      <c r="R37" s="9"/>
      <c r="S37" s="87"/>
    </row>
    <row r="38" spans="1:35" ht="26">
      <c r="A38" s="169" t="s">
        <v>141</v>
      </c>
      <c r="B38" s="8">
        <f>Testing!B26+Equipment!B27+Process!B28+Instruments!B28</f>
        <v>0</v>
      </c>
      <c r="C38" s="31">
        <f>Testing!C26+Equipment!C27+Process!C28+Instruments!C28</f>
        <v>0</v>
      </c>
      <c r="D38" s="257">
        <f>U38+V38+W38</f>
        <v>208088.17689999996</v>
      </c>
      <c r="E38" s="8">
        <f>Testing!E26+Equipment!E27+Process!E28+Instruments!E28</f>
        <v>0</v>
      </c>
      <c r="F38" s="9">
        <f>Testing!F26+Equipment!F27+Process!F28+Instruments!F28</f>
        <v>0</v>
      </c>
      <c r="G38" s="257">
        <f>X38+Y38+Z38</f>
        <v>215671.91909999997</v>
      </c>
      <c r="H38" s="8">
        <f>Testing!H26+Equipment!H27+Process!H28+Instruments!H28</f>
        <v>0</v>
      </c>
      <c r="I38" s="9">
        <f>Testing!I26+Equipment!I27+Process!I28+Instruments!I28</f>
        <v>0</v>
      </c>
      <c r="J38" s="10">
        <f>Testing!J26+Equipment!J27+Process!J28+Instruments!J28</f>
        <v>0</v>
      </c>
      <c r="K38" s="8">
        <f>Testing!K26+Equipment!K27+Process!K28+Instruments!K28</f>
        <v>0</v>
      </c>
      <c r="L38" s="9">
        <f>Testing!L26+Equipment!L27+Process!L28+Instruments!L28</f>
        <v>0</v>
      </c>
      <c r="M38" s="10">
        <f>Testing!M26+Equipment!M27+Process!M28+Instruments!M28</f>
        <v>0</v>
      </c>
      <c r="N38" s="8">
        <f>Testing!N26+Equipment!N27+Process!N28+Instruments!N28</f>
        <v>0</v>
      </c>
      <c r="O38" s="9">
        <f>Testing!O26+Equipment!O27+Process!O28+Instruments!O28</f>
        <v>0</v>
      </c>
      <c r="P38" s="10">
        <f>Testing!P26+Equipment!P27+Process!P28+Instruments!P28</f>
        <v>0</v>
      </c>
      <c r="Q38" s="46"/>
      <c r="R38" s="9"/>
      <c r="S38" s="87"/>
      <c r="U38" s="144">
        <f>U36*U39/12</f>
        <v>63420.907799999986</v>
      </c>
      <c r="V38" s="144">
        <f t="shared" ref="V38:AI38" si="15">V36*V39/12</f>
        <v>68563.08249999999</v>
      </c>
      <c r="W38" s="144">
        <f t="shared" si="15"/>
        <v>76104.186600000001</v>
      </c>
      <c r="X38" s="144">
        <f t="shared" si="15"/>
        <v>74854.849099999992</v>
      </c>
      <c r="Y38" s="144">
        <f t="shared" si="15"/>
        <v>74142.099999999991</v>
      </c>
      <c r="Z38" s="144">
        <f t="shared" si="15"/>
        <v>66674.97</v>
      </c>
      <c r="AA38" s="48">
        <f t="shared" si="15"/>
        <v>0</v>
      </c>
      <c r="AB38" s="48">
        <f t="shared" si="15"/>
        <v>0</v>
      </c>
      <c r="AC38" s="48">
        <f t="shared" si="15"/>
        <v>0</v>
      </c>
      <c r="AD38" s="48">
        <f t="shared" si="15"/>
        <v>0</v>
      </c>
      <c r="AE38" s="48">
        <f t="shared" si="15"/>
        <v>0</v>
      </c>
      <c r="AF38" s="48">
        <f t="shared" si="15"/>
        <v>0</v>
      </c>
      <c r="AG38" s="48">
        <f t="shared" si="15"/>
        <v>0</v>
      </c>
      <c r="AH38" s="48">
        <f t="shared" si="15"/>
        <v>0</v>
      </c>
      <c r="AI38" s="48">
        <f t="shared" si="15"/>
        <v>0</v>
      </c>
    </row>
    <row r="39" spans="1:35" s="52" customFormat="1">
      <c r="A39" s="372" t="s">
        <v>142</v>
      </c>
      <c r="B39" s="11">
        <v>0.105</v>
      </c>
      <c r="C39" s="40">
        <v>0.105</v>
      </c>
      <c r="D39" s="44">
        <v>0.12</v>
      </c>
      <c r="E39" s="11">
        <v>0.105</v>
      </c>
      <c r="F39" s="40">
        <v>0.105</v>
      </c>
      <c r="G39" s="44">
        <v>0.12</v>
      </c>
      <c r="H39" s="11">
        <f>Testing!H27+Equipment!H28+Process!H29+Instruments!H29</f>
        <v>0</v>
      </c>
      <c r="I39" s="40">
        <f>Testing!I27+Equipment!I28+Process!I29+Instruments!I29</f>
        <v>0</v>
      </c>
      <c r="J39" s="44">
        <f>Testing!J27+Equipment!J28+Process!J29+Instruments!J29</f>
        <v>0</v>
      </c>
      <c r="K39" s="11">
        <f>Testing!K27+Equipment!K28+Process!K29+Instruments!K29</f>
        <v>0</v>
      </c>
      <c r="L39" s="40">
        <f>Testing!L27+Equipment!L28+Process!L29+Instruments!L29</f>
        <v>0</v>
      </c>
      <c r="M39" s="44">
        <f>Testing!M27+Equipment!M28+Process!M29+Instruments!M29</f>
        <v>0</v>
      </c>
      <c r="N39" s="11">
        <f>Testing!N27+Equipment!N28+Process!N29+Instruments!N29</f>
        <v>0</v>
      </c>
      <c r="O39" s="40">
        <f>Testing!O27+Equipment!O28+Process!O29+Instruments!O29</f>
        <v>0</v>
      </c>
      <c r="P39" s="44">
        <f>Testing!P27+Equipment!P28+Process!P29+Instruments!P29</f>
        <v>0</v>
      </c>
      <c r="Q39" s="136"/>
      <c r="R39" s="40"/>
      <c r="S39" s="91"/>
      <c r="U39" s="229">
        <v>0.12</v>
      </c>
      <c r="V39" s="229">
        <v>0.12</v>
      </c>
      <c r="W39" s="229">
        <v>0.12</v>
      </c>
      <c r="X39" s="229">
        <v>0.12</v>
      </c>
      <c r="Y39" s="229">
        <v>0.12</v>
      </c>
      <c r="Z39" s="229">
        <v>0.12</v>
      </c>
      <c r="AA39" s="52">
        <v>0.12</v>
      </c>
      <c r="AB39" s="52">
        <v>0.12</v>
      </c>
      <c r="AC39" s="52">
        <v>0.12</v>
      </c>
      <c r="AD39" s="52">
        <v>0.12</v>
      </c>
      <c r="AE39" s="52">
        <v>0.12</v>
      </c>
      <c r="AF39" s="52">
        <v>0.12</v>
      </c>
      <c r="AG39" s="52">
        <v>0.12</v>
      </c>
      <c r="AH39" s="52">
        <v>0.12</v>
      </c>
      <c r="AI39" s="52">
        <v>0.12</v>
      </c>
    </row>
    <row r="40" spans="1:35">
      <c r="A40" s="169" t="s">
        <v>143</v>
      </c>
      <c r="B40" s="348">
        <f>Testing!B28+Equipment!B29+Process!B30+Instruments!B30</f>
        <v>0</v>
      </c>
      <c r="C40" s="31">
        <f>Testing!C28+Equipment!C29+Process!C30+Instruments!C30</f>
        <v>0</v>
      </c>
      <c r="D40" s="257">
        <f>U40+V40+W40</f>
        <v>168371.55</v>
      </c>
      <c r="E40" s="348">
        <f>Testing!E28+Equipment!E29+Process!E30+Instruments!E30</f>
        <v>0</v>
      </c>
      <c r="F40" s="9">
        <f>Testing!F28+Equipment!F29+Process!F30+Instruments!F30</f>
        <v>0</v>
      </c>
      <c r="G40" s="257">
        <f>X40+Y40+Z40</f>
        <v>207417.4</v>
      </c>
      <c r="H40" s="348">
        <f>Testing!H28+Equipment!H29+Process!H30+Instruments!H30</f>
        <v>0</v>
      </c>
      <c r="I40" s="9">
        <f>Testing!I28+Equipment!I29+Process!I30+Instruments!I30</f>
        <v>0</v>
      </c>
      <c r="J40" s="10">
        <f>Testing!J28+Equipment!J29+Process!J30+Instruments!J30</f>
        <v>0</v>
      </c>
      <c r="K40" s="348">
        <f>Testing!K28+Equipment!K29+Process!K30+Instruments!K30</f>
        <v>0</v>
      </c>
      <c r="L40" s="9">
        <f>Testing!L28+Equipment!L29+Process!L30+Instruments!L30</f>
        <v>0</v>
      </c>
      <c r="M40" s="10">
        <f>Testing!M28+Equipment!M29+Process!M30+Instruments!M30</f>
        <v>0</v>
      </c>
      <c r="N40" s="348">
        <f>Testing!N28+Equipment!N29+Process!N30+Instruments!N30</f>
        <v>0</v>
      </c>
      <c r="O40" s="9">
        <f>Testing!O28+Equipment!O29+Process!O30+Instruments!O30</f>
        <v>0</v>
      </c>
      <c r="P40" s="10">
        <f>Testing!P28+Equipment!P29+Process!P30+Instruments!P30</f>
        <v>0</v>
      </c>
      <c r="Q40" s="46"/>
      <c r="R40" s="9"/>
      <c r="S40" s="87"/>
      <c r="U40" s="144">
        <v>62609.99</v>
      </c>
      <c r="V40" s="144">
        <v>48049.94</v>
      </c>
      <c r="W40" s="144">
        <v>57711.62</v>
      </c>
      <c r="X40" s="144">
        <v>77353.399999999994</v>
      </c>
      <c r="Y40" s="144">
        <v>81202</v>
      </c>
      <c r="Z40" s="144">
        <v>48862</v>
      </c>
      <c r="AA40" s="48"/>
      <c r="AB40" s="48"/>
      <c r="AC40" s="48"/>
      <c r="AD40" s="48"/>
      <c r="AE40" s="48"/>
      <c r="AF40" s="48"/>
      <c r="AG40" s="48"/>
      <c r="AH40" s="48"/>
      <c r="AI40" s="48"/>
    </row>
    <row r="41" spans="1:35" ht="26">
      <c r="A41" s="170" t="s">
        <v>144</v>
      </c>
      <c r="B41" s="6">
        <f>Testing!B29+Equipment!B30+Process!B31+Instruments!B31</f>
        <v>0</v>
      </c>
      <c r="C41" s="32">
        <f>Testing!C29+Equipment!C30+Process!C31+Instruments!C31</f>
        <v>0</v>
      </c>
      <c r="D41" s="130">
        <f>D25+D40-D38</f>
        <v>-21472.614899999928</v>
      </c>
      <c r="E41" s="6">
        <f>Testing!E29+Equipment!E30+Process!E31+Instruments!E31</f>
        <v>0</v>
      </c>
      <c r="F41" s="1">
        <f>Testing!F29+Equipment!F30+Process!F31+Instruments!F31</f>
        <v>0</v>
      </c>
      <c r="G41" s="130">
        <f>G25+G40-G38</f>
        <v>78766.950900000258</v>
      </c>
      <c r="H41" s="6">
        <f>Testing!H29+Equipment!H30+Process!H31+Instruments!H31</f>
        <v>0</v>
      </c>
      <c r="I41" s="1">
        <f>Testing!I29+Equipment!I30+Process!I31+Instruments!I31</f>
        <v>0</v>
      </c>
      <c r="J41" s="7">
        <f>Testing!J29+Equipment!J30+Process!J31+Instruments!J31</f>
        <v>0</v>
      </c>
      <c r="K41" s="6">
        <f>Testing!K29+Equipment!K30+Process!K31+Instruments!K31</f>
        <v>0</v>
      </c>
      <c r="L41" s="1">
        <f>Testing!L29+Equipment!L30+Process!L31+Instruments!L31</f>
        <v>0</v>
      </c>
      <c r="M41" s="7">
        <f>Testing!M29+Equipment!M30+Process!M31+Instruments!M31</f>
        <v>0</v>
      </c>
      <c r="N41" s="6">
        <f>Testing!N29+Equipment!N30+Process!N31+Instruments!N31</f>
        <v>0</v>
      </c>
      <c r="O41" s="1">
        <f>Testing!O29+Equipment!O30+Process!O31+Instruments!O31</f>
        <v>0</v>
      </c>
      <c r="P41" s="7">
        <f>Testing!P29+Equipment!P30+Process!P31+Instruments!P31</f>
        <v>0</v>
      </c>
      <c r="Q41" s="83"/>
      <c r="R41" s="1"/>
      <c r="S41" s="89"/>
      <c r="U41" s="230">
        <f>U25+U40-U38</f>
        <v>-291793.11779999995</v>
      </c>
      <c r="V41" s="230">
        <f t="shared" ref="V41:AI41" si="16">V25+V40-V38</f>
        <v>149615.24150000021</v>
      </c>
      <c r="W41" s="230">
        <f t="shared" si="16"/>
        <v>136314.44139999989</v>
      </c>
      <c r="X41" s="230">
        <f t="shared" si="16"/>
        <v>79603.170900000172</v>
      </c>
      <c r="Y41" s="230">
        <f t="shared" si="16"/>
        <v>15239.950000000055</v>
      </c>
      <c r="Z41" s="230">
        <f t="shared" si="16"/>
        <v>-16076.170000000049</v>
      </c>
      <c r="AA41" s="145">
        <f t="shared" si="16"/>
        <v>-217252.13999999998</v>
      </c>
      <c r="AB41" s="145">
        <f t="shared" si="16"/>
        <v>51228.789999999928</v>
      </c>
      <c r="AC41" s="145">
        <f t="shared" si="16"/>
        <v>-156451.9099999998</v>
      </c>
      <c r="AD41" s="145">
        <f t="shared" si="16"/>
        <v>-71234.507999999812</v>
      </c>
      <c r="AE41" s="145">
        <f t="shared" si="16"/>
        <v>30329.920000000115</v>
      </c>
      <c r="AF41" s="145">
        <f t="shared" si="16"/>
        <v>69173.449999999983</v>
      </c>
      <c r="AG41" s="145">
        <f t="shared" si="16"/>
        <v>182550.46000000022</v>
      </c>
      <c r="AH41" s="145">
        <f t="shared" si="16"/>
        <v>43426.959999999905</v>
      </c>
      <c r="AI41" s="145">
        <f t="shared" si="16"/>
        <v>50042.400000000118</v>
      </c>
    </row>
    <row r="42" spans="1:35">
      <c r="A42" s="171" t="s">
        <v>145</v>
      </c>
      <c r="B42" s="8"/>
      <c r="C42" s="9"/>
      <c r="D42" s="10"/>
      <c r="E42" s="8"/>
      <c r="F42" s="9"/>
      <c r="G42" s="10"/>
      <c r="H42" s="8"/>
      <c r="I42" s="9"/>
      <c r="J42" s="10"/>
      <c r="K42" s="8"/>
      <c r="L42" s="9"/>
      <c r="M42" s="10"/>
      <c r="N42" s="8"/>
      <c r="O42" s="9"/>
      <c r="P42" s="10"/>
      <c r="Q42" s="46"/>
      <c r="R42" s="9"/>
      <c r="S42" s="87"/>
    </row>
    <row r="43" spans="1:35">
      <c r="A43" s="160" t="s">
        <v>146</v>
      </c>
      <c r="B43" s="49">
        <f t="shared" ref="B43:P43" si="17">B15</f>
        <v>215144</v>
      </c>
      <c r="C43" s="50">
        <f t="shared" si="17"/>
        <v>215144</v>
      </c>
      <c r="D43" s="51">
        <f t="shared" si="17"/>
        <v>212686</v>
      </c>
      <c r="E43" s="49">
        <f t="shared" si="17"/>
        <v>215144</v>
      </c>
      <c r="F43" s="50">
        <f t="shared" si="17"/>
        <v>215144</v>
      </c>
      <c r="G43" s="51">
        <f t="shared" si="17"/>
        <v>67697.63</v>
      </c>
      <c r="H43" s="49">
        <f t="shared" si="17"/>
        <v>87296.63</v>
      </c>
      <c r="I43" s="50">
        <f t="shared" si="17"/>
        <v>87296.63</v>
      </c>
      <c r="J43" s="51">
        <f t="shared" si="17"/>
        <v>49490.260300000002</v>
      </c>
      <c r="K43" s="49">
        <f t="shared" si="17"/>
        <v>87296.63</v>
      </c>
      <c r="L43" s="50">
        <f t="shared" si="17"/>
        <v>87296.63</v>
      </c>
      <c r="M43" s="51">
        <f t="shared" si="17"/>
        <v>67647.256000000008</v>
      </c>
      <c r="N43" s="49">
        <f t="shared" si="17"/>
        <v>90596.63</v>
      </c>
      <c r="O43" s="50">
        <f t="shared" si="17"/>
        <v>90596.63</v>
      </c>
      <c r="P43" s="51">
        <f t="shared" si="17"/>
        <v>78733.166000000012</v>
      </c>
      <c r="Q43" s="80">
        <f t="shared" ref="Q43:S48" si="18">E43+H43+K43+N43</f>
        <v>480333.89</v>
      </c>
      <c r="R43" s="80">
        <f t="shared" si="18"/>
        <v>480333.89</v>
      </c>
      <c r="S43" s="92">
        <f t="shared" si="18"/>
        <v>263568.31230000005</v>
      </c>
      <c r="T43" s="48"/>
      <c r="U43" s="144">
        <f>Testing!U15+Equipment!U15 +Process!U15+Instruments!U15</f>
        <v>37967.460000000006</v>
      </c>
      <c r="V43" s="144">
        <f>Testing!V15+Equipment!V15 +Process!V15+Instruments!V15</f>
        <v>4.1721808331696939E+38</v>
      </c>
      <c r="W43" s="144">
        <f>Testing!W15+Equipment!W15 +Process!W15+Instruments!W15</f>
        <v>4219.6740000000009</v>
      </c>
      <c r="X43" s="144">
        <f>Testing!X15+Equipment!X15 +Process!X15+Instruments!X15</f>
        <v>361078.239</v>
      </c>
      <c r="Y43" s="144">
        <f>Testing!Y15+Equipment!Y15 +Process!Y15+Instruments!Y15</f>
        <v>1075306.72</v>
      </c>
      <c r="Z43" s="144">
        <f>Testing!Z15+Equipment!Z15 +Process!Z15+Instruments!Z15</f>
        <v>17224.707000000002</v>
      </c>
      <c r="AA43" s="48">
        <f>Testing!AA15+Equipment!AA15 +Process!AA15+Instruments!AA15</f>
        <v>12382.818299999999</v>
      </c>
      <c r="AB43" s="48">
        <f>Testing!AB15+Equipment!AB15 +Process!AB15+Instruments!AB15</f>
        <v>11760.927</v>
      </c>
      <c r="AC43" s="48">
        <f>Testing!AC15+Equipment!AC15 +Process!AC15+Instruments!AC15</f>
        <v>21362.174999999999</v>
      </c>
      <c r="AD43" s="48">
        <f>Testing!AD15+Equipment!AD15 +Process!AD15+Instruments!AD15</f>
        <v>17040.915000000001</v>
      </c>
      <c r="AE43" s="48">
        <f>Testing!AE15+Equipment!AE15 +Process!AE15+Instruments!AE15</f>
        <v>24963.288000000004</v>
      </c>
      <c r="AF43" s="48">
        <f>Testing!AF15+Equipment!AF15 +Process!AF15+Instruments!AF15</f>
        <v>21040.923000000003</v>
      </c>
      <c r="AG43" s="48">
        <f>Testing!AG15+Equipment!AG15 +Process!AG15+Instruments!AG15</f>
        <v>32016.638999999999</v>
      </c>
      <c r="AH43" s="48">
        <f>Testing!AH15+Equipment!AH15 +Process!AH15+Instruments!AH15</f>
        <v>21813.414000000004</v>
      </c>
      <c r="AI43" s="48">
        <f>Testing!AI15+Equipment!AI15 +Process!AI15+Instruments!AI15</f>
        <v>19943.373</v>
      </c>
    </row>
    <row r="44" spans="1:35">
      <c r="A44" s="156" t="s">
        <v>147</v>
      </c>
      <c r="B44" s="55">
        <f t="array" ref="B44:AI44">Finance!$B$15:$AI$15</f>
        <v>254273</v>
      </c>
      <c r="C44" s="56">
        <v>249187.54</v>
      </c>
      <c r="D44" s="57">
        <v>222921.58</v>
      </c>
      <c r="E44" s="55">
        <v>218000</v>
      </c>
      <c r="F44" s="56">
        <v>218000</v>
      </c>
      <c r="G44" s="57">
        <v>191754.62</v>
      </c>
      <c r="H44" s="55">
        <v>255000</v>
      </c>
      <c r="I44" s="56">
        <v>240000</v>
      </c>
      <c r="J44" s="57">
        <v>148370.95000000001</v>
      </c>
      <c r="K44" s="55">
        <v>255000</v>
      </c>
      <c r="L44" s="56">
        <v>240000</v>
      </c>
      <c r="M44" s="57">
        <v>210150.42</v>
      </c>
      <c r="N44" s="55">
        <v>255000</v>
      </c>
      <c r="O44" s="56">
        <v>240000</v>
      </c>
      <c r="P44" s="57">
        <v>245911.42</v>
      </c>
      <c r="Q44" s="1">
        <v>983000</v>
      </c>
      <c r="R44" s="1">
        <v>938000</v>
      </c>
      <c r="S44" s="93">
        <v>796187.41</v>
      </c>
      <c r="T44" s="1">
        <v>0</v>
      </c>
      <c r="U44" s="144">
        <v>137835</v>
      </c>
      <c r="V44" s="144">
        <v>71021</v>
      </c>
      <c r="W44" s="144">
        <v>14065.58</v>
      </c>
      <c r="X44" s="144">
        <v>71453.23</v>
      </c>
      <c r="Y44" s="144">
        <v>62885.700000000004</v>
      </c>
      <c r="Z44" s="144">
        <v>57415.689999999995</v>
      </c>
      <c r="AA44">
        <v>37960.61</v>
      </c>
      <c r="AB44">
        <v>39203.089999999997</v>
      </c>
      <c r="AC44">
        <v>71207.25</v>
      </c>
      <c r="AD44">
        <v>56803.05</v>
      </c>
      <c r="AE44">
        <v>83210.960000000006</v>
      </c>
      <c r="AF44">
        <v>70136.41</v>
      </c>
      <c r="AG44">
        <v>106722.12999999999</v>
      </c>
      <c r="AH44">
        <v>72711.38</v>
      </c>
      <c r="AI44">
        <v>66477.91</v>
      </c>
    </row>
    <row r="45" spans="1:35">
      <c r="A45" s="160" t="s">
        <v>148</v>
      </c>
      <c r="B45" s="49">
        <f t="shared" ref="B45:M45" si="19">B17</f>
        <v>83611</v>
      </c>
      <c r="C45" s="50">
        <f t="shared" si="19"/>
        <v>83611</v>
      </c>
      <c r="D45" s="51">
        <f t="shared" si="19"/>
        <v>73264</v>
      </c>
      <c r="E45" s="49">
        <f t="shared" si="19"/>
        <v>83611</v>
      </c>
      <c r="F45" s="50">
        <f t="shared" si="19"/>
        <v>83611</v>
      </c>
      <c r="G45" s="51">
        <f t="shared" si="19"/>
        <v>23531.63</v>
      </c>
      <c r="H45" s="50">
        <f t="shared" si="19"/>
        <v>29300.63</v>
      </c>
      <c r="I45" s="50">
        <f t="shared" si="19"/>
        <v>29300.63</v>
      </c>
      <c r="J45" s="50">
        <f t="shared" si="19"/>
        <v>23269.996000000003</v>
      </c>
      <c r="K45" s="49">
        <f t="shared" si="19"/>
        <v>29300.63</v>
      </c>
      <c r="L45" s="50">
        <f t="shared" si="19"/>
        <v>29300.63</v>
      </c>
      <c r="M45" s="51">
        <f t="shared" si="19"/>
        <v>24150.930000000004</v>
      </c>
      <c r="N45" s="50"/>
      <c r="O45" s="50"/>
      <c r="P45" s="50"/>
      <c r="Q45" s="80">
        <f t="shared" si="18"/>
        <v>142212.26</v>
      </c>
      <c r="R45" s="80">
        <f t="shared" si="18"/>
        <v>142212.26</v>
      </c>
      <c r="S45" s="80">
        <f t="shared" si="18"/>
        <v>70952.556000000011</v>
      </c>
      <c r="U45" s="144">
        <f>Testing!U17+Equipment!U17 +Process!U17+Instruments!U17</f>
        <v>4199.1899999999996</v>
      </c>
      <c r="V45" s="144">
        <f>Testing!V17+Equipment!V17 +Process!V17+Instruments!V17</f>
        <v>4.1721808331696939E+38</v>
      </c>
      <c r="W45" s="144">
        <f>Testing!W17+Equipment!W17 +Process!W17+Instruments!W17</f>
        <v>5284.179000000001</v>
      </c>
      <c r="X45" s="144">
        <f>Testing!X17+Equipment!X17 +Process!X17+Instruments!X17</f>
        <v>346904.95800000004</v>
      </c>
      <c r="Y45" s="144">
        <f>Testing!Y17+Equipment!Y17 +Process!Y17+Instruments!Y17</f>
        <v>1062416.1100000001</v>
      </c>
      <c r="Z45" s="144">
        <f>Testing!Z17+Equipment!Z17 +Process!Z17+Instruments!Z17</f>
        <v>6465.9000000000005</v>
      </c>
      <c r="AA45">
        <f>Testing!AA17+Equipment!AA17 +Process!AA17+Instruments!AA17</f>
        <v>6972.9000000000005</v>
      </c>
      <c r="AB45">
        <f>Testing!AB17+Equipment!AB17 +Process!AB17+Instruments!AB17</f>
        <v>7138.4759999999997</v>
      </c>
      <c r="AC45">
        <f>Testing!AC17+Equipment!AC17 +Process!AC17+Instruments!AC17</f>
        <v>7504.2000000000007</v>
      </c>
      <c r="AD45">
        <f>Testing!AD17+Equipment!AD17 +Process!AD17+Instruments!AD17</f>
        <v>7384.1009999999997</v>
      </c>
      <c r="AE45">
        <f>Testing!AE17+Equipment!AE17 +Process!AE17+Instruments!AE17</f>
        <v>7890.6</v>
      </c>
      <c r="AF45">
        <f>Testing!AF17+Equipment!AF17 +Process!AF17+Instruments!AF17</f>
        <v>7478.7390000000014</v>
      </c>
      <c r="AG45">
        <f>Testing!AG17+Equipment!AG17 +Process!AG17+Instruments!AG17</f>
        <v>8072.8380000000006</v>
      </c>
      <c r="AH45">
        <f>Testing!AH17+Equipment!AH17 +Process!AH17+Instruments!AH17</f>
        <v>8485.527</v>
      </c>
      <c r="AI45">
        <f>Testing!AI17+Equipment!AI17 +Process!AI17+Instruments!AI17</f>
        <v>4446.1320000000005</v>
      </c>
    </row>
    <row r="46" spans="1:35">
      <c r="A46" s="172" t="s">
        <v>149</v>
      </c>
      <c r="B46" s="78">
        <f t="array" ref="B46:R46">Information!$B$17:$R$17</f>
        <v>75000</v>
      </c>
      <c r="C46" s="56">
        <v>70000</v>
      </c>
      <c r="D46" s="130">
        <v>67744.78</v>
      </c>
      <c r="E46" s="78">
        <v>75000</v>
      </c>
      <c r="F46" s="32">
        <v>70000</v>
      </c>
      <c r="G46" s="130">
        <v>65678.959999999992</v>
      </c>
      <c r="H46" s="55">
        <v>75000</v>
      </c>
      <c r="I46" s="56">
        <v>70000</v>
      </c>
      <c r="J46" s="57">
        <v>72051.92</v>
      </c>
      <c r="K46" s="78">
        <v>75000</v>
      </c>
      <c r="L46" s="32">
        <v>70000</v>
      </c>
      <c r="M46" s="130">
        <v>75844.800000000003</v>
      </c>
      <c r="N46" s="55">
        <v>75000</v>
      </c>
      <c r="O46" s="56">
        <v>70000</v>
      </c>
      <c r="P46" s="57">
        <v>70014.990000000005</v>
      </c>
      <c r="Q46" s="24">
        <v>300000</v>
      </c>
      <c r="R46" s="1">
        <v>280000</v>
      </c>
      <c r="S46" s="80">
        <f t="shared" si="18"/>
        <v>283590.67</v>
      </c>
      <c r="T46" s="1"/>
      <c r="U46" s="144">
        <f t="array" ref="U46:AI46">Information!$U$17:$AI$17</f>
        <v>25274.1</v>
      </c>
      <c r="V46" s="144">
        <v>24856.75</v>
      </c>
      <c r="W46" s="144">
        <v>17613.93</v>
      </c>
      <c r="X46" s="144">
        <v>24208.959999999999</v>
      </c>
      <c r="Y46" s="144">
        <v>19917</v>
      </c>
      <c r="Z46" s="144">
        <v>21553</v>
      </c>
      <c r="AA46">
        <v>23243</v>
      </c>
      <c r="AB46">
        <v>23794.92</v>
      </c>
      <c r="AC46">
        <v>25014</v>
      </c>
      <c r="AD46">
        <v>24613.67</v>
      </c>
      <c r="AE46">
        <v>26302</v>
      </c>
      <c r="AF46">
        <v>24929.13</v>
      </c>
      <c r="AG46">
        <v>26909.46</v>
      </c>
      <c r="AH46">
        <v>28285.09</v>
      </c>
      <c r="AI46">
        <v>14820.44</v>
      </c>
    </row>
    <row r="47" spans="1:35">
      <c r="A47" s="160" t="s">
        <v>150</v>
      </c>
      <c r="B47" s="49">
        <f t="shared" ref="B47:P47" si="20">B19</f>
        <v>58200</v>
      </c>
      <c r="C47" s="50">
        <f t="shared" si="20"/>
        <v>58200</v>
      </c>
      <c r="D47" s="51">
        <f t="shared" si="20"/>
        <v>76562</v>
      </c>
      <c r="E47" s="49">
        <f t="shared" si="20"/>
        <v>58200</v>
      </c>
      <c r="F47" s="50">
        <f t="shared" si="20"/>
        <v>58200</v>
      </c>
      <c r="G47" s="51">
        <f t="shared" si="20"/>
        <v>17635</v>
      </c>
      <c r="H47" s="49">
        <f t="shared" si="20"/>
        <v>20400.63</v>
      </c>
      <c r="I47" s="50">
        <f t="shared" si="20"/>
        <v>20400.63</v>
      </c>
      <c r="J47" s="51">
        <f t="shared" si="20"/>
        <v>15067.844800000001</v>
      </c>
      <c r="K47" s="49">
        <f t="shared" si="20"/>
        <v>20400.63</v>
      </c>
      <c r="L47" s="50">
        <f t="shared" si="20"/>
        <v>20400.63</v>
      </c>
      <c r="M47" s="51">
        <f t="shared" si="20"/>
        <v>7103.35</v>
      </c>
      <c r="N47" s="49">
        <f t="shared" si="20"/>
        <v>20400.63</v>
      </c>
      <c r="O47" s="50">
        <f t="shared" si="20"/>
        <v>20400.63</v>
      </c>
      <c r="P47" s="51">
        <f t="shared" si="20"/>
        <v>13712.417999999998</v>
      </c>
      <c r="Q47" s="80">
        <f t="shared" si="18"/>
        <v>119401.89000000001</v>
      </c>
      <c r="R47" s="80">
        <f t="shared" si="18"/>
        <v>119401.89000000001</v>
      </c>
      <c r="S47" s="80">
        <f t="shared" si="18"/>
        <v>53518.612799999995</v>
      </c>
      <c r="U47" s="144">
        <f>Testing!U19+Equipment!U19 +Process!U19+Instruments!U19</f>
        <v>6499.3440000000001</v>
      </c>
      <c r="V47" s="144">
        <f>Testing!V19+Equipment!V19 +Process!V19+Instruments!V19</f>
        <v>4.1721808331696939E+38</v>
      </c>
      <c r="W47" s="144">
        <f>Testing!W19+Equipment!W19 +Process!W19+Instruments!W19</f>
        <v>7216.4400000000005</v>
      </c>
      <c r="X47" s="144">
        <f>Testing!X19+Equipment!X19 +Process!X19+Instruments!X19</f>
        <v>344195.24100000004</v>
      </c>
      <c r="Y47" s="144">
        <f>Testing!Y19+Equipment!Y19 +Process!Y19+Instruments!Y19</f>
        <v>1064761.9240000001</v>
      </c>
      <c r="Z47" s="144">
        <f>Testing!Z19+Equipment!Z19 +Process!Z19+Instruments!Z19</f>
        <v>1443.309</v>
      </c>
      <c r="AA47">
        <f>Testing!AA19+Equipment!AA19 +Process!AA19+Instruments!AA19</f>
        <v>5468.9078</v>
      </c>
      <c r="AB47">
        <f>Testing!AB19+Equipment!AB19 +Process!AB19+Instruments!AB19</f>
        <v>4871.9070000000002</v>
      </c>
      <c r="AC47">
        <f>Testing!AC19+Equipment!AC19 +Process!AC19+Instruments!AC19</f>
        <v>3272.6100000000006</v>
      </c>
      <c r="AD47">
        <f>Testing!AD19+Equipment!AD19 +Process!AD19+Instruments!AD19</f>
        <v>1693.6020000000003</v>
      </c>
      <c r="AE47">
        <f>Testing!AE19+Equipment!AE19 +Process!AE19+Instruments!AE19</f>
        <v>2248.1489999999999</v>
      </c>
      <c r="AF47">
        <f>Testing!AF19+Equipment!AF19 +Process!AF19+Instruments!AF19</f>
        <v>1964.1090000000002</v>
      </c>
      <c r="AG47">
        <f>Testing!AG19+Equipment!AG19 +Process!AG19+Instruments!AG19</f>
        <v>4775.0280000000002</v>
      </c>
      <c r="AH47">
        <f>Testing!AH19+Equipment!AH19 +Process!AH19+Instruments!AH19</f>
        <v>2879.1</v>
      </c>
      <c r="AI47">
        <f>Testing!AI19+Equipment!AI19 +Process!AI19+Instruments!AI19</f>
        <v>4647.6000000000004</v>
      </c>
    </row>
    <row r="48" spans="1:35">
      <c r="A48" s="172" t="s">
        <v>151</v>
      </c>
      <c r="B48" s="78">
        <f t="array" ref="B48:P48">Admin!$B$19:$P$19</f>
        <v>96750</v>
      </c>
      <c r="C48" s="1">
        <v>72750</v>
      </c>
      <c r="D48" s="130">
        <v>87454.82</v>
      </c>
      <c r="E48" s="78">
        <v>52500</v>
      </c>
      <c r="F48" s="32">
        <v>48000</v>
      </c>
      <c r="G48" s="130">
        <v>47723.979999999996</v>
      </c>
      <c r="H48" s="56">
        <v>52500</v>
      </c>
      <c r="I48" s="1">
        <v>48000</v>
      </c>
      <c r="J48" s="56">
        <v>45378.649999999994</v>
      </c>
      <c r="K48" s="78">
        <v>52500</v>
      </c>
      <c r="L48" s="32">
        <v>48000</v>
      </c>
      <c r="M48" s="130">
        <v>19686.2</v>
      </c>
      <c r="N48" s="1">
        <v>52500</v>
      </c>
      <c r="O48" s="1">
        <v>48000</v>
      </c>
      <c r="P48" s="1">
        <v>41005.759999999995</v>
      </c>
      <c r="Q48" s="80">
        <f t="shared" si="18"/>
        <v>210000</v>
      </c>
      <c r="R48" s="80">
        <f t="shared" si="18"/>
        <v>192000</v>
      </c>
      <c r="S48" s="80">
        <f t="shared" si="18"/>
        <v>153794.58999999997</v>
      </c>
      <c r="T48" s="56"/>
      <c r="U48" s="129">
        <f t="array" ref="U48:AI48">Admin!$U$19:$AI$19</f>
        <v>32941.279999999999</v>
      </c>
      <c r="V48" s="129">
        <v>30458.74</v>
      </c>
      <c r="W48" s="129">
        <v>24054.799999999999</v>
      </c>
      <c r="X48" s="129">
        <v>15176.57</v>
      </c>
      <c r="Y48" s="129">
        <v>27736.38</v>
      </c>
      <c r="Z48" s="129">
        <v>4811.03</v>
      </c>
      <c r="AA48" s="1">
        <v>18230.259999999998</v>
      </c>
      <c r="AB48" s="1">
        <v>16239.69</v>
      </c>
      <c r="AC48" s="1">
        <v>10908.7</v>
      </c>
      <c r="AD48">
        <v>5645.34</v>
      </c>
      <c r="AE48">
        <v>7493.83</v>
      </c>
      <c r="AF48">
        <v>6547.03</v>
      </c>
      <c r="AG48">
        <v>15916.759999999998</v>
      </c>
      <c r="AH48">
        <v>9597</v>
      </c>
      <c r="AI48">
        <v>15492</v>
      </c>
    </row>
    <row r="49" spans="1:35">
      <c r="A49" s="160" t="s">
        <v>152</v>
      </c>
      <c r="B49" s="49">
        <f t="shared" ref="B49:Q50" si="21">B43+B45+B47</f>
        <v>356955</v>
      </c>
      <c r="C49" s="50">
        <f t="shared" si="21"/>
        <v>356955</v>
      </c>
      <c r="D49" s="51">
        <f t="shared" si="21"/>
        <v>362512</v>
      </c>
      <c r="E49" s="49">
        <f t="shared" si="21"/>
        <v>356955</v>
      </c>
      <c r="F49" s="50">
        <f t="shared" si="21"/>
        <v>356955</v>
      </c>
      <c r="G49" s="51">
        <f t="shared" si="21"/>
        <v>108864.26000000001</v>
      </c>
      <c r="H49" s="49">
        <f t="shared" si="21"/>
        <v>136997.89000000001</v>
      </c>
      <c r="I49" s="50">
        <f t="shared" si="21"/>
        <v>136997.89000000001</v>
      </c>
      <c r="J49" s="51">
        <f t="shared" si="21"/>
        <v>87828.101100000014</v>
      </c>
      <c r="K49" s="49">
        <f t="shared" si="21"/>
        <v>136997.89000000001</v>
      </c>
      <c r="L49" s="50">
        <f t="shared" si="21"/>
        <v>136997.89000000001</v>
      </c>
      <c r="M49" s="51">
        <f t="shared" si="21"/>
        <v>98901.536000000022</v>
      </c>
      <c r="N49" s="49">
        <f t="shared" si="21"/>
        <v>110997.26000000001</v>
      </c>
      <c r="O49" s="50">
        <f t="shared" si="21"/>
        <v>110997.26000000001</v>
      </c>
      <c r="P49" s="51">
        <f t="shared" si="21"/>
        <v>92445.584000000003</v>
      </c>
      <c r="Q49" s="80">
        <f>E49+H49+K49+N49</f>
        <v>741948.04</v>
      </c>
      <c r="R49" s="80">
        <f>F49+I49+L49+O49</f>
        <v>741948.04</v>
      </c>
      <c r="S49" s="80">
        <f>G49+J49+M49+P49</f>
        <v>388039.48110000009</v>
      </c>
      <c r="T49" s="48"/>
      <c r="U49" s="232">
        <f t="shared" ref="U49:Z50" si="22">U43+U45+U47</f>
        <v>48665.994000000006</v>
      </c>
      <c r="V49" s="232">
        <f t="shared" si="22"/>
        <v>1.2516542499509082E+39</v>
      </c>
      <c r="W49" s="232">
        <f t="shared" si="22"/>
        <v>16720.293000000005</v>
      </c>
      <c r="X49" s="232">
        <f t="shared" si="22"/>
        <v>1052178.4380000001</v>
      </c>
      <c r="Y49" s="232">
        <f t="shared" si="22"/>
        <v>3202484.7540000002</v>
      </c>
      <c r="Z49" s="232">
        <f t="shared" si="22"/>
        <v>25133.916000000005</v>
      </c>
      <c r="AA49" s="209"/>
      <c r="AB49" s="209"/>
      <c r="AC49" s="209"/>
      <c r="AD49" s="209"/>
      <c r="AE49" s="209"/>
      <c r="AF49" s="209"/>
      <c r="AG49" s="209"/>
      <c r="AH49" s="209"/>
      <c r="AI49" s="209"/>
    </row>
    <row r="50" spans="1:35">
      <c r="A50" s="172" t="s">
        <v>153</v>
      </c>
      <c r="B50" s="78">
        <f t="shared" si="21"/>
        <v>426023</v>
      </c>
      <c r="C50" s="32">
        <f t="shared" si="21"/>
        <v>391937.54000000004</v>
      </c>
      <c r="D50" s="130">
        <f t="shared" si="21"/>
        <v>378121.18</v>
      </c>
      <c r="E50" s="78">
        <f t="shared" si="21"/>
        <v>345500</v>
      </c>
      <c r="F50" s="32">
        <f t="shared" si="21"/>
        <v>336000</v>
      </c>
      <c r="G50" s="130">
        <f t="shared" si="21"/>
        <v>305157.56</v>
      </c>
      <c r="H50" s="78">
        <f t="shared" si="21"/>
        <v>382500</v>
      </c>
      <c r="I50" s="32">
        <f t="shared" si="21"/>
        <v>358000</v>
      </c>
      <c r="J50" s="130">
        <f t="shared" si="21"/>
        <v>265801.52</v>
      </c>
      <c r="K50" s="78">
        <f t="shared" si="21"/>
        <v>382500</v>
      </c>
      <c r="L50" s="32">
        <f t="shared" si="21"/>
        <v>358000</v>
      </c>
      <c r="M50" s="130">
        <f t="shared" si="21"/>
        <v>305681.42000000004</v>
      </c>
      <c r="N50" s="78">
        <f t="shared" si="21"/>
        <v>382500</v>
      </c>
      <c r="O50" s="32">
        <f t="shared" si="21"/>
        <v>358000</v>
      </c>
      <c r="P50" s="130">
        <f t="shared" si="21"/>
        <v>356932.17000000004</v>
      </c>
      <c r="Q50" s="78">
        <f t="shared" si="21"/>
        <v>1493000</v>
      </c>
      <c r="R50" s="32">
        <f>R44+R46+R48</f>
        <v>1410000</v>
      </c>
      <c r="S50" s="130">
        <f>S44+S46+S48</f>
        <v>1233572.67</v>
      </c>
      <c r="T50" s="1"/>
      <c r="U50" s="232">
        <f t="shared" si="22"/>
        <v>196050.38</v>
      </c>
      <c r="V50" s="232">
        <f t="shared" si="22"/>
        <v>126336.49</v>
      </c>
      <c r="W50" s="232">
        <f t="shared" si="22"/>
        <v>55734.31</v>
      </c>
      <c r="X50" s="232">
        <f t="shared" si="22"/>
        <v>110838.76000000001</v>
      </c>
      <c r="Y50" s="232">
        <f t="shared" si="22"/>
        <v>110539.08000000002</v>
      </c>
      <c r="Z50" s="232">
        <f t="shared" si="22"/>
        <v>83779.72</v>
      </c>
      <c r="AA50" s="209"/>
      <c r="AB50" s="209"/>
      <c r="AC50" s="209"/>
      <c r="AD50" s="209"/>
      <c r="AE50" s="209"/>
      <c r="AF50" s="209"/>
      <c r="AG50" s="209"/>
      <c r="AH50" s="209"/>
      <c r="AI50" s="209"/>
    </row>
    <row r="51" spans="1:35">
      <c r="A51" s="173" t="s">
        <v>154</v>
      </c>
      <c r="B51" s="131">
        <f>B49-B50</f>
        <v>-69068</v>
      </c>
      <c r="C51" s="132">
        <f t="shared" ref="C51:R51" si="23">C49-C50</f>
        <v>-34982.540000000037</v>
      </c>
      <c r="D51" s="133">
        <f t="shared" si="23"/>
        <v>-15609.179999999993</v>
      </c>
      <c r="E51" s="131">
        <f t="shared" si="23"/>
        <v>11455</v>
      </c>
      <c r="F51" s="132">
        <f t="shared" si="23"/>
        <v>20955</v>
      </c>
      <c r="G51" s="133">
        <f t="shared" si="23"/>
        <v>-196293.3</v>
      </c>
      <c r="H51" s="131">
        <f t="shared" si="23"/>
        <v>-245502.11</v>
      </c>
      <c r="I51" s="132">
        <f t="shared" si="23"/>
        <v>-221002.11</v>
      </c>
      <c r="J51" s="133">
        <f t="shared" si="23"/>
        <v>-177973.41889999999</v>
      </c>
      <c r="K51" s="131">
        <f t="shared" si="23"/>
        <v>-245502.11</v>
      </c>
      <c r="L51" s="132">
        <f t="shared" si="23"/>
        <v>-221002.11</v>
      </c>
      <c r="M51" s="133">
        <f t="shared" si="23"/>
        <v>-206779.88400000002</v>
      </c>
      <c r="N51" s="131">
        <f t="shared" si="23"/>
        <v>-271502.74</v>
      </c>
      <c r="O51" s="132">
        <f t="shared" si="23"/>
        <v>-247002.74</v>
      </c>
      <c r="P51" s="133">
        <f t="shared" si="23"/>
        <v>-264486.58600000001</v>
      </c>
      <c r="Q51" s="132">
        <f t="shared" si="23"/>
        <v>-751051.96</v>
      </c>
      <c r="R51" s="132">
        <f t="shared" si="23"/>
        <v>-668051.96</v>
      </c>
      <c r="S51" s="134">
        <f t="shared" ref="S51:AH51" si="24">S49-S50</f>
        <v>-845533.18889999983</v>
      </c>
      <c r="T51" s="135"/>
      <c r="U51" s="231">
        <f t="shared" si="24"/>
        <v>-147384.386</v>
      </c>
      <c r="V51" s="231">
        <f t="shared" si="24"/>
        <v>1.2516542499509082E+39</v>
      </c>
      <c r="W51" s="231">
        <f t="shared" si="24"/>
        <v>-39014.016999999993</v>
      </c>
      <c r="X51" s="231">
        <f t="shared" si="24"/>
        <v>941339.67800000007</v>
      </c>
      <c r="Y51" s="231">
        <f t="shared" si="24"/>
        <v>3091945.6740000001</v>
      </c>
      <c r="Z51" s="231">
        <f t="shared" si="24"/>
        <v>-58645.803999999996</v>
      </c>
      <c r="AA51" s="135">
        <f t="shared" si="24"/>
        <v>0</v>
      </c>
      <c r="AB51" s="135">
        <f t="shared" si="24"/>
        <v>0</v>
      </c>
      <c r="AC51" s="135">
        <f t="shared" si="24"/>
        <v>0</v>
      </c>
      <c r="AD51" s="135">
        <f t="shared" si="24"/>
        <v>0</v>
      </c>
      <c r="AE51" s="135">
        <f t="shared" si="24"/>
        <v>0</v>
      </c>
      <c r="AF51" s="135">
        <f t="shared" si="24"/>
        <v>0</v>
      </c>
      <c r="AG51" s="135">
        <f t="shared" si="24"/>
        <v>0</v>
      </c>
      <c r="AH51" s="135">
        <f t="shared" si="24"/>
        <v>0</v>
      </c>
      <c r="AI51" s="135">
        <f>AI49-AI50</f>
        <v>0</v>
      </c>
    </row>
    <row r="52" spans="1:35">
      <c r="A52" s="174" t="s">
        <v>155</v>
      </c>
      <c r="B52" s="8"/>
      <c r="C52" s="9"/>
      <c r="D52" s="10"/>
      <c r="E52" s="8"/>
      <c r="F52" s="9"/>
      <c r="G52" s="10"/>
      <c r="H52" s="8"/>
      <c r="I52" s="9"/>
      <c r="J52" s="10"/>
      <c r="K52" s="8"/>
      <c r="L52" s="9"/>
      <c r="M52" s="10"/>
      <c r="N52" s="8"/>
      <c r="O52" s="9"/>
      <c r="P52" s="10"/>
      <c r="Q52" s="9"/>
      <c r="R52" s="9"/>
      <c r="S52" s="87"/>
    </row>
    <row r="53" spans="1:35">
      <c r="A53" s="169" t="s">
        <v>156</v>
      </c>
      <c r="B53" s="8">
        <f>Testing!B36+Equipment!B37+Process!B34+Instruments!B34+Finance!B52+Information!B52+Admin!B52</f>
        <v>7</v>
      </c>
      <c r="C53" s="9"/>
      <c r="D53" s="10"/>
      <c r="E53" s="8"/>
      <c r="F53" s="9"/>
      <c r="G53" s="10"/>
      <c r="H53" s="8"/>
      <c r="I53" s="9"/>
      <c r="J53" s="10"/>
      <c r="K53" s="8"/>
      <c r="L53" s="9"/>
      <c r="M53" s="10"/>
      <c r="N53" s="8"/>
      <c r="O53" s="9"/>
      <c r="P53" s="10"/>
      <c r="Q53" s="9"/>
      <c r="R53" s="9"/>
      <c r="S53" s="87"/>
    </row>
    <row r="54" spans="1:35">
      <c r="A54" s="169" t="s">
        <v>157</v>
      </c>
      <c r="B54" s="8">
        <f>Testing!B37+Equipment!B38+Process!B35+Instruments!B35+Finance!B53+Information!B53+Admin!B53</f>
        <v>1</v>
      </c>
      <c r="C54" s="9"/>
      <c r="D54" s="10"/>
      <c r="E54" s="8"/>
      <c r="F54" s="9"/>
      <c r="G54" s="10"/>
      <c r="H54" s="8"/>
      <c r="I54" s="9"/>
      <c r="J54" s="10"/>
      <c r="K54" s="8"/>
      <c r="L54" s="9"/>
      <c r="M54" s="10"/>
      <c r="N54" s="8"/>
      <c r="O54" s="9"/>
      <c r="P54" s="10"/>
      <c r="Q54" s="9"/>
      <c r="R54" s="9"/>
      <c r="S54" s="87"/>
    </row>
    <row r="55" spans="1:35">
      <c r="A55" s="169" t="s">
        <v>158</v>
      </c>
      <c r="B55" s="8">
        <f>Testing!B38+Equipment!B39+Process!B36+Instruments!B36+Finance!B54+Information!B54+Admin!B54</f>
        <v>4</v>
      </c>
      <c r="C55" s="9"/>
      <c r="D55" s="10"/>
      <c r="E55" s="8"/>
      <c r="F55" s="9"/>
      <c r="G55" s="10"/>
      <c r="H55" s="8"/>
      <c r="I55" s="9"/>
      <c r="J55" s="10"/>
      <c r="K55" s="8"/>
      <c r="L55" s="9"/>
      <c r="M55" s="10"/>
      <c r="N55" s="8"/>
      <c r="O55" s="9"/>
      <c r="P55" s="10"/>
      <c r="Q55" s="9"/>
      <c r="R55" s="9"/>
      <c r="S55" s="87"/>
    </row>
    <row r="56" spans="1:35">
      <c r="A56" s="169" t="s">
        <v>159</v>
      </c>
      <c r="B56" s="8">
        <f>Testing!B39+Equipment!B40+Process!B37+Instruments!B37+Finance!B55+Information!B55+Admin!B55</f>
        <v>2</v>
      </c>
      <c r="C56" s="9"/>
      <c r="D56" s="10"/>
      <c r="E56" s="8"/>
      <c r="F56" s="9"/>
      <c r="G56" s="10"/>
      <c r="H56" s="8"/>
      <c r="I56" s="9"/>
      <c r="J56" s="10"/>
      <c r="K56" s="8"/>
      <c r="L56" s="9"/>
      <c r="M56" s="10"/>
      <c r="N56" s="8"/>
      <c r="O56" s="9"/>
      <c r="P56" s="10"/>
      <c r="Q56" s="9"/>
      <c r="R56" s="9"/>
      <c r="S56" s="87"/>
    </row>
    <row r="57" spans="1:35">
      <c r="A57" s="152" t="s">
        <v>160</v>
      </c>
      <c r="B57" s="8">
        <f>Testing!B40+Equipment!B41+Process!B38+Instruments!B38+Finance!B56+Information!B56+Admin!B56</f>
        <v>4</v>
      </c>
      <c r="C57" s="9"/>
      <c r="D57" s="10"/>
      <c r="E57" s="8"/>
      <c r="F57" s="9"/>
      <c r="G57" s="10"/>
      <c r="H57" s="8"/>
      <c r="I57" s="9"/>
      <c r="J57" s="10"/>
      <c r="K57" s="8"/>
      <c r="L57" s="9"/>
      <c r="M57" s="10"/>
      <c r="N57" s="8"/>
      <c r="O57" s="9"/>
      <c r="P57" s="10"/>
      <c r="Q57" s="9"/>
      <c r="R57" s="9"/>
      <c r="S57" s="87"/>
    </row>
    <row r="58" spans="1:35">
      <c r="A58" s="152" t="s">
        <v>161</v>
      </c>
      <c r="B58" s="8">
        <f>Testing!B41+Equipment!B42+Process!B39+Instruments!B39+Finance!B57+Information!B57+Admin!B57</f>
        <v>1</v>
      </c>
      <c r="C58" s="9"/>
      <c r="D58" s="10"/>
      <c r="E58" s="8"/>
      <c r="F58" s="9"/>
      <c r="G58" s="10"/>
      <c r="H58" s="8"/>
      <c r="I58" s="9"/>
      <c r="J58" s="10"/>
      <c r="K58" s="8"/>
      <c r="L58" s="9"/>
      <c r="M58" s="10"/>
      <c r="N58" s="8"/>
      <c r="O58" s="9"/>
      <c r="P58" s="10"/>
      <c r="Q58" s="9"/>
      <c r="R58" s="9"/>
      <c r="S58" s="87"/>
    </row>
    <row r="59" spans="1:35">
      <c r="A59" s="152" t="s">
        <v>162</v>
      </c>
      <c r="B59" s="8">
        <f>Testing!B42+Equipment!B43+Process!B40+Instruments!B40+Finance!B58+Information!B58+Admin!B58</f>
        <v>2</v>
      </c>
      <c r="C59" s="9"/>
      <c r="D59" s="10"/>
      <c r="E59" s="8"/>
      <c r="F59" s="9"/>
      <c r="G59" s="10"/>
      <c r="H59" s="8"/>
      <c r="I59" s="9"/>
      <c r="J59" s="10"/>
      <c r="K59" s="8"/>
      <c r="L59" s="9"/>
      <c r="M59" s="10"/>
      <c r="N59" s="8"/>
      <c r="O59" s="9"/>
      <c r="P59" s="10"/>
      <c r="Q59" s="9"/>
      <c r="R59" s="9"/>
      <c r="S59" s="87"/>
    </row>
    <row r="60" spans="1:35">
      <c r="A60" s="152" t="s">
        <v>163</v>
      </c>
      <c r="B60" s="8">
        <f>Testing!B43+Equipment!B44+Process!B41+Instruments!B41+Finance!B59+Information!B59+Admin!B59</f>
        <v>5</v>
      </c>
      <c r="C60" s="9"/>
      <c r="D60" s="10"/>
      <c r="E60" s="8"/>
      <c r="F60" s="9"/>
      <c r="G60" s="10"/>
      <c r="H60" s="8"/>
      <c r="I60" s="9"/>
      <c r="J60" s="10"/>
      <c r="K60" s="8"/>
      <c r="L60" s="9"/>
      <c r="M60" s="10"/>
      <c r="N60" s="8"/>
      <c r="O60" s="9"/>
      <c r="P60" s="10"/>
      <c r="Q60" s="9"/>
      <c r="R60" s="9"/>
      <c r="S60" s="87"/>
    </row>
    <row r="61" spans="1:35">
      <c r="A61" s="152" t="s">
        <v>87</v>
      </c>
      <c r="B61" s="8">
        <f>Testing!B44+Equipment!B45+Process!B42+Instruments!B42+Finance!B60+Information!B60+Admin!B60</f>
        <v>1</v>
      </c>
      <c r="C61" s="9"/>
      <c r="D61" s="10"/>
      <c r="E61" s="8"/>
      <c r="F61" s="9"/>
      <c r="G61" s="10"/>
      <c r="H61" s="8"/>
      <c r="I61" s="9"/>
      <c r="J61" s="10"/>
      <c r="K61" s="8"/>
      <c r="L61" s="9"/>
      <c r="M61" s="10"/>
      <c r="N61" s="8"/>
      <c r="O61" s="9"/>
      <c r="P61" s="10"/>
      <c r="Q61" s="9"/>
      <c r="R61" s="9"/>
      <c r="S61" s="87"/>
    </row>
    <row r="62" spans="1:35" ht="14" thickBot="1">
      <c r="A62" s="153" t="s">
        <v>164</v>
      </c>
      <c r="B62" s="12">
        <f>Testing!B45+Equipment!B46+Process!B43+Instruments!B43+Finance!B61+Information!B61+Admin!B61</f>
        <v>1</v>
      </c>
      <c r="C62" s="13"/>
      <c r="D62" s="14"/>
      <c r="E62" s="12"/>
      <c r="F62" s="13"/>
      <c r="G62" s="14"/>
      <c r="H62" s="12"/>
      <c r="I62" s="13"/>
      <c r="J62" s="14"/>
      <c r="K62" s="12"/>
      <c r="L62" s="13"/>
      <c r="M62" s="14"/>
      <c r="N62" s="12"/>
      <c r="O62" s="13"/>
      <c r="P62" s="14"/>
      <c r="Q62" s="13"/>
      <c r="R62" s="13"/>
      <c r="S62" s="96"/>
    </row>
    <row r="63" spans="1:35">
      <c r="A63" t="s">
        <v>165</v>
      </c>
      <c r="B63" s="175">
        <v>120</v>
      </c>
      <c r="C63" s="175">
        <v>120</v>
      </c>
      <c r="D63" s="175">
        <v>120</v>
      </c>
      <c r="E63" s="175">
        <v>108</v>
      </c>
      <c r="F63" s="175">
        <v>108</v>
      </c>
      <c r="G63" s="175">
        <v>108</v>
      </c>
      <c r="H63" s="175">
        <v>105</v>
      </c>
      <c r="I63" s="175">
        <v>105</v>
      </c>
      <c r="J63" s="175">
        <v>105</v>
      </c>
      <c r="K63" s="175">
        <v>105</v>
      </c>
      <c r="L63" s="175">
        <v>105</v>
      </c>
      <c r="M63" s="175">
        <v>105</v>
      </c>
      <c r="N63" s="175">
        <v>105</v>
      </c>
      <c r="O63" s="175">
        <v>105</v>
      </c>
      <c r="P63" s="175">
        <v>105</v>
      </c>
    </row>
    <row r="64" spans="1:35">
      <c r="A64" t="s">
        <v>166</v>
      </c>
      <c r="B64" s="453">
        <f>B6*4/B63</f>
        <v>133630.5</v>
      </c>
      <c r="C64" s="453">
        <f t="shared" ref="C64:P64" si="25">C6*4/C63</f>
        <v>145469.53333333333</v>
      </c>
      <c r="D64" s="453">
        <f t="shared" si="25"/>
        <v>120979.7604</v>
      </c>
      <c r="E64" s="453">
        <f t="shared" si="25"/>
        <v>132477.48148148149</v>
      </c>
      <c r="F64" s="453">
        <f t="shared" si="25"/>
        <v>154554.00714749837</v>
      </c>
      <c r="G64" s="453">
        <f t="shared" si="25"/>
        <v>115627.30148148148</v>
      </c>
      <c r="H64" s="453">
        <f t="shared" si="25"/>
        <v>149310.43809523809</v>
      </c>
      <c r="I64" s="453">
        <f t="shared" si="25"/>
        <v>170021.07401837927</v>
      </c>
      <c r="J64" s="453">
        <f t="shared" si="25"/>
        <v>108277.44190476189</v>
      </c>
      <c r="K64" s="453">
        <f t="shared" si="25"/>
        <v>153525.02857142859</v>
      </c>
      <c r="L64" s="453">
        <f t="shared" si="25"/>
        <v>170873.92080200498</v>
      </c>
      <c r="M64" s="453">
        <f t="shared" si="25"/>
        <v>130724.59413333335</v>
      </c>
      <c r="N64" s="453">
        <f t="shared" si="25"/>
        <v>156138.78095238094</v>
      </c>
      <c r="O64" s="453">
        <f t="shared" si="25"/>
        <v>172206.52163742689</v>
      </c>
      <c r="P64" s="453">
        <f t="shared" si="25"/>
        <v>141577.97180952379</v>
      </c>
    </row>
    <row r="66" spans="1:18">
      <c r="A66" s="154" t="s">
        <v>114</v>
      </c>
      <c r="B66" s="26">
        <v>3990803</v>
      </c>
      <c r="C66" s="31">
        <v>4364086</v>
      </c>
      <c r="D66" s="38">
        <v>3629392.8119999999</v>
      </c>
      <c r="E66" s="26">
        <v>3576892</v>
      </c>
      <c r="F66" s="31">
        <v>4172958.1929824562</v>
      </c>
      <c r="G66" s="38">
        <v>1018664.48</v>
      </c>
      <c r="H66" s="26">
        <v>3919399</v>
      </c>
      <c r="I66" s="31">
        <v>4463053.1929824557</v>
      </c>
      <c r="J66" s="38">
        <v>0</v>
      </c>
      <c r="K66" s="26">
        <v>4030032</v>
      </c>
      <c r="L66" s="31">
        <v>4485440.421052631</v>
      </c>
      <c r="M66" s="38">
        <v>0</v>
      </c>
      <c r="N66" s="26">
        <v>4098643</v>
      </c>
      <c r="O66" s="31">
        <v>4520421.1929824557</v>
      </c>
      <c r="P66" s="38">
        <v>0</v>
      </c>
      <c r="Q66" s="26">
        <v>15624966</v>
      </c>
      <c r="R66" s="31">
        <v>17641873</v>
      </c>
    </row>
    <row r="67" spans="1:18">
      <c r="A67" s="155" t="s">
        <v>115</v>
      </c>
      <c r="B67" s="8"/>
      <c r="C67" s="9"/>
      <c r="D67" s="10"/>
      <c r="E67" s="8"/>
      <c r="F67" s="9"/>
      <c r="G67" s="10"/>
      <c r="H67" s="8"/>
      <c r="I67" s="9"/>
      <c r="J67" s="10"/>
      <c r="K67" s="8"/>
      <c r="L67" s="9"/>
      <c r="M67" s="10"/>
      <c r="N67" s="8"/>
      <c r="O67" s="9"/>
      <c r="P67" s="10"/>
      <c r="Q67" s="8"/>
      <c r="R67" s="9"/>
    </row>
    <row r="68" spans="1:18">
      <c r="A68" s="154" t="s">
        <v>116</v>
      </c>
      <c r="B68" s="26">
        <v>3209175</v>
      </c>
      <c r="C68" s="31">
        <v>3397582</v>
      </c>
      <c r="D68" s="38">
        <v>2914661.38</v>
      </c>
      <c r="E68" s="26">
        <v>2949625.586544557</v>
      </c>
      <c r="F68" s="31">
        <v>3211083.5622445126</v>
      </c>
      <c r="G68" s="38">
        <v>779068.92</v>
      </c>
      <c r="H68" s="26">
        <v>3086459.2637847969</v>
      </c>
      <c r="I68" s="31">
        <v>3299668.6922445125</v>
      </c>
      <c r="J68" s="38">
        <v>0</v>
      </c>
      <c r="K68" s="26">
        <v>3092150.8253789442</v>
      </c>
      <c r="L68" s="31">
        <v>3280140.0695476918</v>
      </c>
      <c r="M68" s="38">
        <v>0</v>
      </c>
      <c r="N68" s="26">
        <v>3139416.6074846541</v>
      </c>
      <c r="O68" s="31">
        <v>3296904.9422445125</v>
      </c>
      <c r="P68" s="38">
        <v>0</v>
      </c>
      <c r="Q68" s="26">
        <v>12267652.283192951</v>
      </c>
      <c r="R68" s="31">
        <v>13087797.26628123</v>
      </c>
    </row>
    <row r="69" spans="1:18">
      <c r="A69" s="156"/>
      <c r="B69" s="6"/>
      <c r="C69" s="1"/>
      <c r="D69" s="7"/>
      <c r="E69" s="6"/>
      <c r="F69" s="1"/>
      <c r="G69" s="7"/>
      <c r="H69" s="6"/>
      <c r="I69" s="1"/>
      <c r="J69" s="7"/>
      <c r="K69" s="6"/>
      <c r="L69" s="1"/>
      <c r="M69" s="7"/>
      <c r="N69" s="6"/>
      <c r="O69" s="1"/>
      <c r="P69" s="7"/>
      <c r="Q69" s="6"/>
      <c r="R69" s="1"/>
    </row>
    <row r="70" spans="1:18">
      <c r="A70" s="157" t="s">
        <v>117</v>
      </c>
      <c r="B70" s="35">
        <v>781628</v>
      </c>
      <c r="C70" s="32">
        <v>966504</v>
      </c>
      <c r="D70" s="36">
        <v>714731.43200000003</v>
      </c>
      <c r="E70" s="35">
        <v>627266.41345544299</v>
      </c>
      <c r="F70" s="32">
        <v>961874.63073794357</v>
      </c>
      <c r="G70" s="36">
        <v>239595.56</v>
      </c>
      <c r="H70" s="35">
        <v>832939.73621520307</v>
      </c>
      <c r="I70" s="32">
        <v>1163384.5007379432</v>
      </c>
      <c r="J70" s="36">
        <v>0</v>
      </c>
      <c r="K70" s="35">
        <v>937881.17462105583</v>
      </c>
      <c r="L70" s="32">
        <v>1205300.3515049391</v>
      </c>
      <c r="M70" s="36">
        <v>0</v>
      </c>
      <c r="N70" s="35">
        <v>959226.39251534594</v>
      </c>
      <c r="O70" s="32">
        <v>1223516.2507379432</v>
      </c>
      <c r="P70" s="36">
        <v>0</v>
      </c>
      <c r="Q70" s="35">
        <v>3357313.7168070488</v>
      </c>
      <c r="R70" s="32">
        <v>4554075.7337187696</v>
      </c>
    </row>
    <row r="71" spans="1:18">
      <c r="A71" s="152"/>
      <c r="B71" s="8"/>
      <c r="C71" s="9"/>
      <c r="D71" s="10"/>
      <c r="E71" s="8"/>
      <c r="F71" s="9"/>
      <c r="G71" s="10"/>
      <c r="H71" s="8"/>
      <c r="I71" s="9"/>
      <c r="J71" s="10"/>
      <c r="K71" s="8"/>
      <c r="L71" s="9"/>
      <c r="M71" s="10"/>
      <c r="N71" s="8"/>
      <c r="O71" s="9"/>
      <c r="P71" s="10"/>
      <c r="Q71" s="8"/>
      <c r="R71" s="9"/>
    </row>
    <row r="72" spans="1:18">
      <c r="A72" s="158" t="s">
        <v>59</v>
      </c>
      <c r="B72" s="8"/>
      <c r="C72" s="9">
        <v>0</v>
      </c>
      <c r="D72" s="10">
        <v>0</v>
      </c>
      <c r="E72" s="8">
        <v>0</v>
      </c>
      <c r="F72" s="9">
        <v>0</v>
      </c>
      <c r="G72" s="10">
        <v>0</v>
      </c>
      <c r="H72" s="8">
        <v>0</v>
      </c>
      <c r="I72" s="9">
        <v>0</v>
      </c>
      <c r="J72" s="10">
        <v>0</v>
      </c>
      <c r="K72" s="8">
        <v>0</v>
      </c>
      <c r="L72" s="9">
        <v>0</v>
      </c>
      <c r="M72" s="10">
        <v>0</v>
      </c>
      <c r="N72" s="8">
        <v>0</v>
      </c>
      <c r="O72" s="9">
        <v>0</v>
      </c>
      <c r="P72" s="10">
        <v>0</v>
      </c>
      <c r="Q72" s="8"/>
      <c r="R72" s="9"/>
    </row>
    <row r="73" spans="1:18">
      <c r="A73" s="152"/>
      <c r="B73" s="106">
        <v>0</v>
      </c>
      <c r="C73" s="108">
        <v>0</v>
      </c>
      <c r="D73" s="107">
        <v>0</v>
      </c>
      <c r="E73" s="106">
        <v>0</v>
      </c>
      <c r="F73" s="108">
        <v>0</v>
      </c>
      <c r="G73" s="107">
        <v>0</v>
      </c>
      <c r="H73" s="106">
        <v>0</v>
      </c>
      <c r="I73" s="108">
        <v>0</v>
      </c>
      <c r="J73" s="107">
        <v>0</v>
      </c>
      <c r="K73" s="106">
        <v>0</v>
      </c>
      <c r="L73" s="108">
        <v>0</v>
      </c>
      <c r="M73" s="107">
        <v>0</v>
      </c>
      <c r="N73" s="106">
        <v>0</v>
      </c>
      <c r="O73" s="108">
        <v>0</v>
      </c>
      <c r="P73" s="107">
        <v>0</v>
      </c>
      <c r="Q73" s="106">
        <v>0</v>
      </c>
      <c r="R73" s="108">
        <v>0</v>
      </c>
    </row>
    <row r="74" spans="1:18">
      <c r="A74" s="159" t="s">
        <v>167</v>
      </c>
      <c r="B74" s="11">
        <v>0.97</v>
      </c>
      <c r="C74" s="40">
        <v>0.97</v>
      </c>
      <c r="D74" s="44">
        <v>0.97</v>
      </c>
      <c r="E74" s="11"/>
      <c r="F74" s="40"/>
      <c r="G74" s="44"/>
      <c r="H74" s="11">
        <v>0.97</v>
      </c>
      <c r="I74" s="40">
        <v>0.97</v>
      </c>
      <c r="J74" s="44"/>
      <c r="K74" s="11">
        <v>0.97</v>
      </c>
      <c r="L74" s="40">
        <v>0.97</v>
      </c>
      <c r="M74" s="44">
        <v>0.97</v>
      </c>
      <c r="N74" s="11">
        <v>0.97</v>
      </c>
      <c r="O74" s="40">
        <v>0.97</v>
      </c>
      <c r="P74" s="44">
        <v>0.97</v>
      </c>
      <c r="Q74" s="11">
        <v>0.97</v>
      </c>
      <c r="R74" s="40">
        <v>0.97</v>
      </c>
    </row>
    <row r="75" spans="1:18">
      <c r="A75" s="160" t="s">
        <v>118</v>
      </c>
      <c r="B75" s="49">
        <v>215144</v>
      </c>
      <c r="C75" s="50">
        <v>215144</v>
      </c>
      <c r="D75" s="51">
        <v>210186</v>
      </c>
      <c r="E75" s="49">
        <v>215144</v>
      </c>
      <c r="F75" s="50">
        <v>215144</v>
      </c>
      <c r="G75" s="51">
        <v>22150.6</v>
      </c>
      <c r="H75" s="49">
        <v>218444</v>
      </c>
      <c r="I75" s="50">
        <v>218444</v>
      </c>
      <c r="J75" s="51">
        <v>0</v>
      </c>
      <c r="K75" s="49">
        <v>218444</v>
      </c>
      <c r="L75" s="50">
        <v>218444</v>
      </c>
      <c r="M75" s="51">
        <v>0</v>
      </c>
      <c r="N75" s="49">
        <v>221744</v>
      </c>
      <c r="O75" s="50">
        <v>221744</v>
      </c>
      <c r="P75" s="51">
        <v>0</v>
      </c>
      <c r="Q75" s="49">
        <v>873776</v>
      </c>
      <c r="R75" s="50">
        <v>873776</v>
      </c>
    </row>
    <row r="76" spans="1:18">
      <c r="A76" s="160" t="s">
        <v>168</v>
      </c>
      <c r="B76" s="49">
        <v>0.97</v>
      </c>
      <c r="C76" s="50">
        <v>0.97</v>
      </c>
      <c r="D76" s="51">
        <v>0.97</v>
      </c>
      <c r="E76" s="49"/>
      <c r="F76" s="50"/>
      <c r="G76" s="51"/>
      <c r="H76" s="49"/>
      <c r="I76" s="50"/>
      <c r="J76" s="51"/>
      <c r="K76" s="49"/>
      <c r="L76" s="50"/>
      <c r="M76" s="51"/>
      <c r="N76" s="49"/>
      <c r="O76" s="50"/>
      <c r="P76" s="51"/>
      <c r="Q76" s="49"/>
      <c r="R76" s="50"/>
    </row>
    <row r="77" spans="1:18">
      <c r="A77" s="160" t="s">
        <v>119</v>
      </c>
      <c r="B77" s="49">
        <v>83611</v>
      </c>
      <c r="C77" s="50">
        <v>83611</v>
      </c>
      <c r="D77" s="51">
        <v>72064</v>
      </c>
      <c r="E77" s="49">
        <v>83611</v>
      </c>
      <c r="F77" s="50">
        <v>83611</v>
      </c>
      <c r="G77" s="51">
        <v>7504.27</v>
      </c>
      <c r="H77" s="49">
        <v>83611</v>
      </c>
      <c r="I77" s="50">
        <v>83611</v>
      </c>
      <c r="J77" s="51">
        <v>0</v>
      </c>
      <c r="K77" s="49">
        <v>83611</v>
      </c>
      <c r="L77" s="50">
        <v>83611</v>
      </c>
      <c r="M77" s="51">
        <v>0</v>
      </c>
      <c r="N77" s="49">
        <v>83611</v>
      </c>
      <c r="O77" s="50">
        <v>83611</v>
      </c>
      <c r="P77" s="51">
        <v>0</v>
      </c>
      <c r="Q77" s="49">
        <v>334444</v>
      </c>
      <c r="R77" s="50">
        <v>334444</v>
      </c>
    </row>
    <row r="78" spans="1:18">
      <c r="A78" s="160" t="s">
        <v>169</v>
      </c>
      <c r="B78" s="49">
        <v>0.97</v>
      </c>
      <c r="C78" s="50">
        <v>0.97</v>
      </c>
      <c r="D78" s="51">
        <v>0.97</v>
      </c>
      <c r="E78" s="49"/>
      <c r="F78" s="50"/>
      <c r="G78" s="51"/>
      <c r="H78" s="49"/>
      <c r="I78" s="50"/>
      <c r="J78" s="51"/>
      <c r="K78" s="49"/>
      <c r="L78" s="50"/>
      <c r="M78" s="51"/>
      <c r="N78" s="49"/>
      <c r="O78" s="50"/>
      <c r="P78" s="51"/>
      <c r="Q78" s="49"/>
      <c r="R78" s="50"/>
    </row>
    <row r="79" spans="1:18">
      <c r="A79" s="161" t="s">
        <v>120</v>
      </c>
      <c r="B79" s="55">
        <v>58200</v>
      </c>
      <c r="C79" s="56">
        <v>58200</v>
      </c>
      <c r="D79" s="57">
        <v>75562</v>
      </c>
      <c r="E79" s="55">
        <v>58200</v>
      </c>
      <c r="F79" s="56">
        <v>58200</v>
      </c>
      <c r="G79" s="57">
        <v>4705.3</v>
      </c>
      <c r="H79" s="55">
        <v>58200</v>
      </c>
      <c r="I79" s="56">
        <v>58200</v>
      </c>
      <c r="J79" s="57">
        <v>0</v>
      </c>
      <c r="K79" s="55">
        <v>58200</v>
      </c>
      <c r="L79" s="56">
        <v>58200</v>
      </c>
      <c r="M79" s="57">
        <v>0</v>
      </c>
      <c r="N79" s="55">
        <v>58200</v>
      </c>
      <c r="O79" s="56">
        <v>58200</v>
      </c>
      <c r="P79" s="57">
        <v>0</v>
      </c>
      <c r="Q79" s="55">
        <v>232800</v>
      </c>
      <c r="R79" s="56">
        <v>232800</v>
      </c>
    </row>
    <row r="80" spans="1:18">
      <c r="A80" s="205" t="s">
        <v>121</v>
      </c>
      <c r="B80" s="206">
        <v>356955</v>
      </c>
      <c r="C80" s="207">
        <v>356955</v>
      </c>
      <c r="D80" s="208">
        <v>357812</v>
      </c>
      <c r="E80" s="206">
        <v>356955</v>
      </c>
      <c r="F80" s="207">
        <v>356955</v>
      </c>
      <c r="G80" s="208">
        <v>34360.17</v>
      </c>
      <c r="H80" s="206">
        <v>360255</v>
      </c>
      <c r="I80" s="207">
        <v>360255</v>
      </c>
      <c r="J80" s="208">
        <v>0</v>
      </c>
      <c r="K80" s="206">
        <v>360255</v>
      </c>
      <c r="L80" s="207">
        <v>360255</v>
      </c>
      <c r="M80" s="208">
        <v>0</v>
      </c>
      <c r="N80" s="206">
        <v>363555</v>
      </c>
      <c r="O80" s="207">
        <v>363555</v>
      </c>
      <c r="P80" s="208">
        <v>0</v>
      </c>
      <c r="Q80" s="206">
        <v>1441020</v>
      </c>
      <c r="R80" s="207">
        <v>1441020</v>
      </c>
    </row>
    <row r="83" spans="1:18">
      <c r="A83" s="154" t="s">
        <v>114</v>
      </c>
      <c r="B83" s="48">
        <f>B66-B6</f>
        <v>-18112</v>
      </c>
      <c r="C83" s="48">
        <f>C66-C6</f>
        <v>0</v>
      </c>
      <c r="D83" s="48">
        <f>D66-D6</f>
        <v>0</v>
      </c>
      <c r="E83" s="48">
        <f>E66-E6</f>
        <v>0</v>
      </c>
      <c r="F83" s="48">
        <f>F66-F6</f>
        <v>0</v>
      </c>
      <c r="G83" s="48"/>
      <c r="H83" s="48">
        <f>H66-H6</f>
        <v>0</v>
      </c>
      <c r="I83" s="48">
        <f>I66-I6</f>
        <v>0</v>
      </c>
      <c r="J83" s="48"/>
      <c r="K83" s="48">
        <f t="shared" ref="K83:R83" si="26">K66-K6</f>
        <v>0</v>
      </c>
      <c r="L83" s="48">
        <f t="shared" si="26"/>
        <v>0</v>
      </c>
      <c r="M83" s="48">
        <f t="shared" si="26"/>
        <v>-3431520.5960000004</v>
      </c>
      <c r="N83" s="48">
        <f t="shared" si="26"/>
        <v>0</v>
      </c>
      <c r="O83" s="48">
        <f t="shared" si="26"/>
        <v>0</v>
      </c>
      <c r="P83" s="48">
        <f t="shared" si="26"/>
        <v>-3716421.76</v>
      </c>
      <c r="Q83" s="48">
        <f t="shared" si="26"/>
        <v>0</v>
      </c>
      <c r="R83" s="48">
        <f t="shared" si="26"/>
        <v>0</v>
      </c>
    </row>
    <row r="84" spans="1:18">
      <c r="A84" s="155" t="s">
        <v>115</v>
      </c>
    </row>
    <row r="85" spans="1:18">
      <c r="A85" s="154" t="s">
        <v>116</v>
      </c>
      <c r="B85" s="48">
        <f>B68-B8</f>
        <v>-33526.929999999702</v>
      </c>
      <c r="C85" s="48">
        <f>C68-C8</f>
        <v>0</v>
      </c>
      <c r="D85" s="48">
        <f>D68-D8</f>
        <v>0</v>
      </c>
      <c r="E85" s="48">
        <f>E68-E8</f>
        <v>0</v>
      </c>
      <c r="F85" s="48">
        <f>F68-F8</f>
        <v>0</v>
      </c>
      <c r="G85" s="48"/>
      <c r="H85" s="48">
        <f>H68-H8</f>
        <v>0</v>
      </c>
      <c r="I85" s="48">
        <f>I68-I8</f>
        <v>0</v>
      </c>
      <c r="J85" s="48"/>
      <c r="K85" s="48">
        <f t="shared" ref="K85:R85" si="27">K68-K8</f>
        <v>0</v>
      </c>
      <c r="L85" s="48">
        <f t="shared" si="27"/>
        <v>0</v>
      </c>
      <c r="M85" s="48">
        <f t="shared" si="27"/>
        <v>-2905960.4839999997</v>
      </c>
      <c r="N85" s="48">
        <f t="shared" si="27"/>
        <v>0</v>
      </c>
      <c r="O85" s="48">
        <f t="shared" si="27"/>
        <v>0</v>
      </c>
      <c r="P85" s="48">
        <f t="shared" si="27"/>
        <v>-2897576.92</v>
      </c>
      <c r="Q85" s="48">
        <f t="shared" si="27"/>
        <v>0</v>
      </c>
      <c r="R85" s="48">
        <f t="shared" si="27"/>
        <v>0</v>
      </c>
    </row>
    <row r="86" spans="1:18">
      <c r="A86" s="156"/>
    </row>
    <row r="87" spans="1:18">
      <c r="A87" s="157" t="s">
        <v>117</v>
      </c>
      <c r="B87" s="48">
        <f>B70-B10</f>
        <v>15414.929999999702</v>
      </c>
      <c r="C87" s="48">
        <f>C70-C10</f>
        <v>0</v>
      </c>
      <c r="D87" s="48">
        <f>D70-D10</f>
        <v>0</v>
      </c>
      <c r="E87" s="48">
        <f>E70-E10</f>
        <v>0</v>
      </c>
      <c r="F87" s="48">
        <f>F70-F10</f>
        <v>0</v>
      </c>
      <c r="G87" s="48"/>
      <c r="H87" s="48">
        <f>H70-H10</f>
        <v>0</v>
      </c>
      <c r="I87" s="48">
        <f>I70-I10</f>
        <v>0</v>
      </c>
      <c r="J87" s="48"/>
      <c r="K87" s="48">
        <f t="shared" ref="K87:R87" si="28">K70-K10</f>
        <v>0</v>
      </c>
      <c r="L87" s="48">
        <f t="shared" si="28"/>
        <v>0</v>
      </c>
      <c r="M87" s="48">
        <f t="shared" si="28"/>
        <v>-525560.11200000066</v>
      </c>
      <c r="N87" s="48">
        <f t="shared" si="28"/>
        <v>0</v>
      </c>
      <c r="O87" s="48">
        <f t="shared" si="28"/>
        <v>0</v>
      </c>
      <c r="P87" s="48">
        <f t="shared" si="28"/>
        <v>-818844.83999999985</v>
      </c>
      <c r="Q87" s="48">
        <f t="shared" si="28"/>
        <v>0</v>
      </c>
      <c r="R87" s="48">
        <f t="shared" si="28"/>
        <v>0</v>
      </c>
    </row>
    <row r="88" spans="1:18">
      <c r="A88" s="152"/>
    </row>
    <row r="89" spans="1:18">
      <c r="A89" s="158" t="s">
        <v>59</v>
      </c>
      <c r="B89" s="48">
        <f>B72-B12</f>
        <v>0</v>
      </c>
      <c r="C89" s="48">
        <f>C72-C12</f>
        <v>0</v>
      </c>
      <c r="D89" s="48">
        <f>D72-D12</f>
        <v>0</v>
      </c>
      <c r="E89" s="48">
        <f>E72-E12</f>
        <v>0</v>
      </c>
      <c r="F89" s="48">
        <f>F72-F12</f>
        <v>0</v>
      </c>
      <c r="G89" s="48"/>
      <c r="H89" s="48">
        <f>H72-H12</f>
        <v>0</v>
      </c>
      <c r="I89" s="48">
        <f>I72-I12</f>
        <v>0</v>
      </c>
      <c r="J89" s="48"/>
      <c r="K89" s="48">
        <f t="shared" ref="K89:R89" si="29">K72-K12</f>
        <v>0</v>
      </c>
      <c r="L89" s="48">
        <f t="shared" si="29"/>
        <v>0</v>
      </c>
      <c r="M89" s="48">
        <f t="shared" si="29"/>
        <v>0</v>
      </c>
      <c r="N89" s="48">
        <f t="shared" si="29"/>
        <v>0</v>
      </c>
      <c r="O89" s="48">
        <f t="shared" si="29"/>
        <v>0</v>
      </c>
      <c r="P89" s="48">
        <f t="shared" si="29"/>
        <v>0</v>
      </c>
      <c r="Q89" s="48">
        <f t="shared" si="29"/>
        <v>0</v>
      </c>
      <c r="R89" s="48">
        <f t="shared" si="29"/>
        <v>0</v>
      </c>
    </row>
    <row r="90" spans="1:18">
      <c r="A90" s="152"/>
    </row>
    <row r="91" spans="1:18">
      <c r="A91" s="159" t="s">
        <v>167</v>
      </c>
    </row>
    <row r="92" spans="1:18">
      <c r="A92" s="160" t="s">
        <v>118</v>
      </c>
      <c r="B92" s="48">
        <f>B75-B15</f>
        <v>0</v>
      </c>
      <c r="C92" s="48">
        <f t="shared" ref="C92:R92" si="30">C75-C15</f>
        <v>0</v>
      </c>
      <c r="D92" s="48">
        <f t="shared" si="30"/>
        <v>-2500</v>
      </c>
      <c r="E92" s="48">
        <f t="shared" si="30"/>
        <v>0</v>
      </c>
      <c r="F92" s="48">
        <f t="shared" si="30"/>
        <v>0</v>
      </c>
      <c r="G92" s="48"/>
      <c r="H92" s="48">
        <f t="shared" si="30"/>
        <v>131147.37</v>
      </c>
      <c r="I92" s="48">
        <f t="shared" si="30"/>
        <v>131147.37</v>
      </c>
      <c r="J92" s="48"/>
      <c r="K92" s="48">
        <f t="shared" si="30"/>
        <v>131147.37</v>
      </c>
      <c r="L92" s="48">
        <f t="shared" si="30"/>
        <v>131147.37</v>
      </c>
      <c r="M92" s="48">
        <f t="shared" si="30"/>
        <v>-67647.256000000008</v>
      </c>
      <c r="N92" s="48">
        <f t="shared" si="30"/>
        <v>131147.37</v>
      </c>
      <c r="O92" s="48">
        <f t="shared" si="30"/>
        <v>131147.37</v>
      </c>
      <c r="P92" s="48">
        <f t="shared" si="30"/>
        <v>-78733.166000000012</v>
      </c>
      <c r="Q92" s="48">
        <f t="shared" si="30"/>
        <v>393442.11</v>
      </c>
      <c r="R92" s="48">
        <f t="shared" si="30"/>
        <v>393442.11</v>
      </c>
    </row>
    <row r="93" spans="1:18">
      <c r="A93" s="160" t="s">
        <v>168</v>
      </c>
    </row>
    <row r="94" spans="1:18">
      <c r="A94" s="160" t="s">
        <v>119</v>
      </c>
      <c r="B94" s="48">
        <f>B77-B17</f>
        <v>0</v>
      </c>
      <c r="C94" s="48">
        <f t="shared" ref="C94:R94" si="31">C77-C17</f>
        <v>0</v>
      </c>
      <c r="D94" s="48">
        <f t="shared" si="31"/>
        <v>-1200</v>
      </c>
      <c r="E94" s="48">
        <f t="shared" si="31"/>
        <v>0</v>
      </c>
      <c r="F94" s="48">
        <f t="shared" si="31"/>
        <v>0</v>
      </c>
      <c r="G94" s="48"/>
      <c r="H94" s="48">
        <f t="shared" si="31"/>
        <v>54310.369999999995</v>
      </c>
      <c r="I94" s="48">
        <f t="shared" si="31"/>
        <v>54310.369999999995</v>
      </c>
      <c r="J94" s="48"/>
      <c r="K94" s="48">
        <f t="shared" si="31"/>
        <v>54310.369999999995</v>
      </c>
      <c r="L94" s="48">
        <f t="shared" si="31"/>
        <v>54310.369999999995</v>
      </c>
      <c r="M94" s="48">
        <f t="shared" si="31"/>
        <v>-24150.930000000004</v>
      </c>
      <c r="N94" s="48">
        <f t="shared" si="31"/>
        <v>54310.369999999995</v>
      </c>
      <c r="O94" s="48">
        <f t="shared" si="31"/>
        <v>54310.369999999995</v>
      </c>
      <c r="P94" s="48">
        <f t="shared" si="31"/>
        <v>-22905.277000000006</v>
      </c>
      <c r="Q94" s="48">
        <f t="shared" si="31"/>
        <v>162931.10999999999</v>
      </c>
      <c r="R94" s="48">
        <f t="shared" si="31"/>
        <v>162931.10999999999</v>
      </c>
    </row>
    <row r="95" spans="1:18">
      <c r="A95" s="160" t="s">
        <v>169</v>
      </c>
    </row>
    <row r="96" spans="1:18">
      <c r="A96" s="161" t="s">
        <v>120</v>
      </c>
      <c r="B96" s="48">
        <f t="shared" ref="B96:F97" si="32">B79-B19</f>
        <v>0</v>
      </c>
      <c r="C96" s="48">
        <f t="shared" si="32"/>
        <v>0</v>
      </c>
      <c r="D96" s="48">
        <f t="shared" si="32"/>
        <v>-1000</v>
      </c>
      <c r="E96" s="48">
        <f t="shared" si="32"/>
        <v>0</v>
      </c>
      <c r="F96" s="48">
        <f t="shared" si="32"/>
        <v>0</v>
      </c>
      <c r="G96" s="48"/>
      <c r="H96" s="48">
        <f>H79-H19</f>
        <v>37799.369999999995</v>
      </c>
      <c r="I96" s="48">
        <f>I79-I19</f>
        <v>37799.369999999995</v>
      </c>
      <c r="J96" s="48"/>
      <c r="K96" s="48">
        <f t="shared" ref="K96:R97" si="33">K79-K19</f>
        <v>37799.369999999995</v>
      </c>
      <c r="L96" s="48">
        <f t="shared" si="33"/>
        <v>37799.369999999995</v>
      </c>
      <c r="M96" s="48">
        <f t="shared" si="33"/>
        <v>-7103.35</v>
      </c>
      <c r="N96" s="48">
        <f t="shared" si="33"/>
        <v>37799.369999999995</v>
      </c>
      <c r="O96" s="48">
        <f t="shared" si="33"/>
        <v>37799.369999999995</v>
      </c>
      <c r="P96" s="48">
        <f t="shared" si="33"/>
        <v>-13712.417999999998</v>
      </c>
      <c r="Q96" s="48">
        <f t="shared" si="33"/>
        <v>113398.10999999999</v>
      </c>
      <c r="R96" s="48">
        <f t="shared" si="33"/>
        <v>113398.10999999999</v>
      </c>
    </row>
    <row r="97" spans="1:18">
      <c r="A97" s="205" t="s">
        <v>121</v>
      </c>
      <c r="B97" s="48">
        <f t="shared" si="32"/>
        <v>0</v>
      </c>
      <c r="C97" s="48">
        <f t="shared" si="32"/>
        <v>0</v>
      </c>
      <c r="D97" s="48">
        <f t="shared" si="32"/>
        <v>-4700</v>
      </c>
      <c r="E97" s="48">
        <f t="shared" si="32"/>
        <v>0</v>
      </c>
      <c r="F97" s="48">
        <f t="shared" si="32"/>
        <v>0</v>
      </c>
      <c r="G97" s="48"/>
      <c r="H97" s="48">
        <f>H80-H20</f>
        <v>223257.11</v>
      </c>
      <c r="I97" s="48">
        <f>I80-I20</f>
        <v>223257.11</v>
      </c>
      <c r="J97" s="48"/>
      <c r="K97" s="48">
        <f t="shared" si="33"/>
        <v>223257.11</v>
      </c>
      <c r="L97" s="48">
        <f t="shared" si="33"/>
        <v>223257.11</v>
      </c>
      <c r="M97" s="48">
        <f t="shared" si="33"/>
        <v>-98901.536000000022</v>
      </c>
      <c r="N97" s="48">
        <f t="shared" si="33"/>
        <v>223257.11</v>
      </c>
      <c r="O97" s="48">
        <f t="shared" si="33"/>
        <v>223257.11</v>
      </c>
      <c r="P97" s="48">
        <f t="shared" si="33"/>
        <v>-115350.86100000002</v>
      </c>
      <c r="Q97" s="48">
        <f t="shared" si="33"/>
        <v>669771.32999999996</v>
      </c>
      <c r="R97" s="48">
        <f t="shared" si="33"/>
        <v>669771.32999999996</v>
      </c>
    </row>
  </sheetData>
  <printOptions gridLines="1" gridLinesSet="0"/>
  <pageMargins left="0.75" right="0.75" top="1" bottom="1" header="0.5" footer="0.5"/>
  <pageSetup paperSize="0" scale="64"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83"/>
  <sheetViews>
    <sheetView workbookViewId="0">
      <pane xSplit="1" ySplit="4" topLeftCell="M5" activePane="bottomRight" state="frozenSplit"/>
      <selection pane="topRight" activeCell="B1" sqref="B1"/>
      <selection pane="bottomLeft" activeCell="A5" sqref="A5"/>
      <selection pane="bottomRight" activeCell="S22" sqref="S22"/>
    </sheetView>
  </sheetViews>
  <sheetFormatPr baseColWidth="10" defaultColWidth="11.42578125" defaultRowHeight="13" x14ac:dyDescent="0"/>
  <cols>
    <col min="1" max="1" width="30.5703125" customWidth="1"/>
    <col min="2" max="2" width="9.42578125" style="279" customWidth="1"/>
    <col min="3" max="3" width="10" style="279" customWidth="1"/>
    <col min="4" max="4" width="9.140625" style="279" customWidth="1"/>
    <col min="5" max="5" width="9.42578125" style="394" customWidth="1"/>
    <col min="6" max="6" width="10" style="394" customWidth="1"/>
    <col min="7" max="7" width="9.140625" style="394" customWidth="1"/>
    <col min="8" max="8" width="10.42578125" customWidth="1"/>
    <col min="9" max="9" width="10" customWidth="1"/>
    <col min="10" max="10" width="10.140625" customWidth="1"/>
    <col min="11" max="11" width="10.42578125" customWidth="1"/>
    <col min="12" max="12" width="10" customWidth="1"/>
    <col min="13" max="13" width="12" customWidth="1"/>
    <col min="14" max="14" width="10.85546875" style="48" customWidth="1"/>
    <col min="15" max="15" width="11.140625" style="48" customWidth="1"/>
    <col min="16" max="16" width="12" style="48" customWidth="1"/>
    <col min="17" max="18" width="11.85546875" customWidth="1"/>
  </cols>
  <sheetData>
    <row r="1" spans="1:35" ht="14" thickBot="1">
      <c r="U1" s="97"/>
      <c r="V1" s="97"/>
      <c r="W1" s="97"/>
      <c r="X1" s="97"/>
      <c r="Y1" s="97"/>
      <c r="Z1" s="97"/>
      <c r="AA1" s="97"/>
      <c r="AB1" s="97"/>
      <c r="AC1" s="97"/>
    </row>
    <row r="2" spans="1:35">
      <c r="A2" s="195" t="s">
        <v>170</v>
      </c>
      <c r="B2" s="280">
        <v>1996</v>
      </c>
      <c r="C2" s="281">
        <v>1996</v>
      </c>
      <c r="D2" s="282">
        <v>1996</v>
      </c>
      <c r="E2" s="395">
        <v>1997</v>
      </c>
      <c r="F2" s="396">
        <v>1997</v>
      </c>
      <c r="G2" s="397">
        <v>1997</v>
      </c>
      <c r="H2" s="15">
        <v>1997</v>
      </c>
      <c r="I2" s="18">
        <v>1997</v>
      </c>
      <c r="J2" s="19">
        <v>1997</v>
      </c>
      <c r="K2" s="15">
        <v>1997</v>
      </c>
      <c r="L2" s="18">
        <v>1997</v>
      </c>
      <c r="M2" s="19">
        <v>1997</v>
      </c>
      <c r="N2" s="18">
        <v>1997</v>
      </c>
      <c r="O2" s="237">
        <v>1997</v>
      </c>
      <c r="P2" s="84">
        <v>1997</v>
      </c>
      <c r="Q2" s="18">
        <v>1997</v>
      </c>
      <c r="R2" s="237">
        <v>1997</v>
      </c>
      <c r="S2" s="84">
        <v>1997</v>
      </c>
      <c r="U2" s="98" t="s">
        <v>103</v>
      </c>
      <c r="V2" s="98" t="s">
        <v>103</v>
      </c>
      <c r="W2" s="98" t="s">
        <v>103</v>
      </c>
      <c r="X2" s="98" t="s">
        <v>103</v>
      </c>
      <c r="Y2" s="98" t="s">
        <v>103</v>
      </c>
      <c r="Z2" s="98" t="s">
        <v>103</v>
      </c>
      <c r="AA2" s="98" t="s">
        <v>103</v>
      </c>
      <c r="AB2" s="98" t="s">
        <v>103</v>
      </c>
      <c r="AC2" s="98" t="s">
        <v>103</v>
      </c>
      <c r="AD2" s="98" t="s">
        <v>103</v>
      </c>
      <c r="AE2" s="98" t="s">
        <v>103</v>
      </c>
      <c r="AF2" s="98" t="s">
        <v>103</v>
      </c>
      <c r="AG2" s="98"/>
      <c r="AH2" s="98"/>
      <c r="AI2" s="98"/>
    </row>
    <row r="3" spans="1:35">
      <c r="A3" s="246"/>
      <c r="B3" s="283" t="s">
        <v>104</v>
      </c>
      <c r="C3" s="284" t="s">
        <v>104</v>
      </c>
      <c r="D3" s="285" t="s">
        <v>104</v>
      </c>
      <c r="E3" s="398" t="s">
        <v>105</v>
      </c>
      <c r="F3" s="399" t="s">
        <v>105</v>
      </c>
      <c r="G3" s="400" t="s">
        <v>105</v>
      </c>
      <c r="H3" s="16" t="s">
        <v>106</v>
      </c>
      <c r="I3" s="20" t="s">
        <v>106</v>
      </c>
      <c r="J3" s="21" t="s">
        <v>106</v>
      </c>
      <c r="K3" s="16" t="s">
        <v>107</v>
      </c>
      <c r="L3" s="20" t="s">
        <v>108</v>
      </c>
      <c r="M3" s="21" t="s">
        <v>108</v>
      </c>
      <c r="N3" s="504" t="s">
        <v>104</v>
      </c>
      <c r="O3" s="505" t="s">
        <v>104</v>
      </c>
      <c r="P3" s="500" t="s">
        <v>104</v>
      </c>
      <c r="Q3" s="20" t="s">
        <v>109</v>
      </c>
      <c r="R3" s="177" t="s">
        <v>109</v>
      </c>
      <c r="S3" s="85" t="s">
        <v>109</v>
      </c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</row>
    <row r="4" spans="1:35">
      <c r="A4" s="196"/>
      <c r="B4" s="286" t="s">
        <v>111</v>
      </c>
      <c r="C4" s="287" t="s">
        <v>112</v>
      </c>
      <c r="D4" s="288" t="s">
        <v>103</v>
      </c>
      <c r="E4" s="401" t="s">
        <v>111</v>
      </c>
      <c r="F4" s="402" t="s">
        <v>112</v>
      </c>
      <c r="G4" s="403" t="s">
        <v>103</v>
      </c>
      <c r="H4" s="17" t="s">
        <v>111</v>
      </c>
      <c r="I4" s="22" t="s">
        <v>112</v>
      </c>
      <c r="J4" s="23" t="s">
        <v>103</v>
      </c>
      <c r="K4" s="17" t="s">
        <v>111</v>
      </c>
      <c r="L4" s="22" t="s">
        <v>112</v>
      </c>
      <c r="M4" s="23" t="s">
        <v>103</v>
      </c>
      <c r="N4" s="506" t="s">
        <v>111</v>
      </c>
      <c r="O4" s="507" t="s">
        <v>112</v>
      </c>
      <c r="P4" s="501" t="s">
        <v>103</v>
      </c>
      <c r="Q4" s="22" t="s">
        <v>111</v>
      </c>
      <c r="R4" s="178" t="s">
        <v>112</v>
      </c>
      <c r="S4" s="86" t="s">
        <v>103</v>
      </c>
      <c r="U4" s="100">
        <v>33877</v>
      </c>
      <c r="V4" s="100">
        <v>33908</v>
      </c>
      <c r="W4" s="100">
        <v>33938</v>
      </c>
      <c r="X4" s="100">
        <v>33969</v>
      </c>
      <c r="Y4" s="100">
        <v>34000</v>
      </c>
      <c r="Z4" s="100">
        <v>34028</v>
      </c>
      <c r="AA4" s="100">
        <v>34059</v>
      </c>
      <c r="AB4" s="100">
        <v>34089</v>
      </c>
      <c r="AC4" s="100">
        <v>34120</v>
      </c>
      <c r="AD4" s="100">
        <v>34150</v>
      </c>
      <c r="AE4" s="100">
        <v>34181</v>
      </c>
      <c r="AF4" s="100">
        <v>34212</v>
      </c>
      <c r="AG4" s="100">
        <v>34242</v>
      </c>
      <c r="AH4" s="100">
        <v>34273</v>
      </c>
      <c r="AI4" s="100">
        <v>34303</v>
      </c>
    </row>
    <row r="5" spans="1:35">
      <c r="A5" s="246"/>
      <c r="B5" s="289"/>
      <c r="C5" s="290"/>
      <c r="D5" s="291"/>
      <c r="E5" s="404"/>
      <c r="F5" s="405"/>
      <c r="G5" s="406"/>
      <c r="H5" s="8"/>
      <c r="I5" s="9"/>
      <c r="J5" s="10"/>
      <c r="K5" s="8"/>
      <c r="L5" s="9"/>
      <c r="M5" s="10"/>
      <c r="N5" s="49"/>
      <c r="O5" s="50"/>
      <c r="P5" s="51"/>
      <c r="Q5" s="50"/>
      <c r="R5" s="238"/>
      <c r="S5" s="87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</row>
    <row r="6" spans="1:35">
      <c r="A6" s="247" t="s">
        <v>171</v>
      </c>
      <c r="B6" s="292">
        <f>[1]Testing!B6:C6</f>
        <v>2104284</v>
      </c>
      <c r="C6" s="293">
        <f>[1]Testing!B6:C6</f>
        <v>2187455</v>
      </c>
      <c r="D6" s="294">
        <f>U6+V6+W6</f>
        <v>1943102.37</v>
      </c>
      <c r="E6" s="407">
        <f>[1]Testing!E6:F6</f>
        <v>1833261</v>
      </c>
      <c r="F6" s="408">
        <f>[1]Testing!E6:F6</f>
        <v>2233327.1929824562</v>
      </c>
      <c r="G6" s="409">
        <f>X6+Y6+Z6</f>
        <v>1739399.34</v>
      </c>
      <c r="H6" s="26">
        <f>[1]Testing!H6:I6</f>
        <v>1907768</v>
      </c>
      <c r="I6" s="31">
        <f>[1]Testing!H6:I6</f>
        <v>2270422.1929824562</v>
      </c>
      <c r="J6" s="38">
        <f>AA6+AB6+AC6</f>
        <v>1397614.8399999999</v>
      </c>
      <c r="K6" s="26">
        <f>[1]Testing!K6:L6</f>
        <v>2010401</v>
      </c>
      <c r="L6" s="31">
        <f>[1]Testing!K6:L6</f>
        <v>2271809.4210526315</v>
      </c>
      <c r="M6" s="38">
        <f>AD6+AE6+AF6</f>
        <v>1726157.2600000002</v>
      </c>
      <c r="N6" s="49">
        <f>[1]Testing!N6:O6</f>
        <v>2079012</v>
      </c>
      <c r="O6" s="50">
        <f>[1]Testing!N6:O6</f>
        <v>2234790.1929824562</v>
      </c>
      <c r="P6" s="51">
        <f>AG6+AH6+AI6</f>
        <v>1917230.84</v>
      </c>
      <c r="Q6" s="80">
        <f>E6+H6+K6+N6</f>
        <v>7830442</v>
      </c>
      <c r="R6" s="238">
        <f>F6+I6+L6+O6</f>
        <v>9010349</v>
      </c>
      <c r="S6" s="88">
        <f>G6+J6+M6+P6</f>
        <v>6780402.2799999993</v>
      </c>
      <c r="U6" s="101">
        <f>[1]Testing!U6:U6</f>
        <v>403452</v>
      </c>
      <c r="V6" s="38">
        <f>[1]Testing!V6:V6</f>
        <v>833145.37</v>
      </c>
      <c r="W6" s="38">
        <f>[1]Testing!W6:W6</f>
        <v>706505</v>
      </c>
      <c r="X6" s="38">
        <f>[1]Testing!X6:X6</f>
        <v>584542.4800000001</v>
      </c>
      <c r="Y6" s="38">
        <f>[1]Testing!Y6:Y6</f>
        <v>593777.79</v>
      </c>
      <c r="Z6" s="38">
        <f>[1]Testing!Z6:Z6</f>
        <v>561079.07000000007</v>
      </c>
      <c r="AA6" s="38">
        <f>[1]Testing!AA6:AA6</f>
        <v>355939.73000000004</v>
      </c>
      <c r="AB6" s="38">
        <f>[1]Testing!AB6:AB6</f>
        <v>647996.71</v>
      </c>
      <c r="AC6" s="38">
        <f>[1]Testing!AC6:AC6</f>
        <v>393678.4</v>
      </c>
      <c r="AD6" s="38">
        <f>[1]Testing!AD6:AD6</f>
        <v>490506.99</v>
      </c>
      <c r="AE6" s="38">
        <f>[1]Testing!AE6:AE6</f>
        <v>614750.32000000007</v>
      </c>
      <c r="AF6" s="38">
        <f>[1]Testing!AF6:AF6</f>
        <v>620899.95000000007</v>
      </c>
      <c r="AG6" s="38">
        <f>[1]Testing!AG6:AG6</f>
        <v>647687.60000000009</v>
      </c>
      <c r="AH6" s="38">
        <f>[1]Testing!AH6:AH6</f>
        <v>563230.17000000004</v>
      </c>
      <c r="AI6" s="38">
        <f>[1]Testing!AI6:AI6</f>
        <v>706313.07000000007</v>
      </c>
    </row>
    <row r="7" spans="1:35" ht="14" thickBot="1">
      <c r="A7" s="247"/>
      <c r="B7" s="289"/>
      <c r="C7" s="290"/>
      <c r="D7" s="291"/>
      <c r="E7" s="404"/>
      <c r="F7" s="405"/>
      <c r="G7" s="406"/>
      <c r="H7" s="8"/>
      <c r="I7" s="9"/>
      <c r="J7" s="10"/>
      <c r="K7" s="8"/>
      <c r="L7" s="9"/>
      <c r="M7" s="10">
        <f>AD7+AE7+AF7</f>
        <v>0</v>
      </c>
      <c r="N7" s="49"/>
      <c r="O7" s="50"/>
      <c r="P7" s="51"/>
      <c r="Q7" s="80"/>
      <c r="R7" s="238"/>
      <c r="S7" s="87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</row>
    <row r="8" spans="1:35" ht="14" thickBot="1">
      <c r="A8" s="247" t="s">
        <v>172</v>
      </c>
      <c r="B8" s="292">
        <f>[1]Testing!B8:C8</f>
        <v>1591701.93</v>
      </c>
      <c r="C8" s="293">
        <f>[1]Testing!B8:C8</f>
        <v>1634582</v>
      </c>
      <c r="D8" s="294">
        <f>U8+V8+W8</f>
        <v>1422891.67</v>
      </c>
      <c r="E8" s="407">
        <f>[1]Testing!E8:F8</f>
        <v>1462885.586544557</v>
      </c>
      <c r="F8" s="408">
        <f>[1]Testing!E8:F8</f>
        <v>1688803.5622445126</v>
      </c>
      <c r="G8" s="409">
        <f>X8+Y8+Z8</f>
        <v>1343225.89</v>
      </c>
      <c r="H8" s="26">
        <f>[1]Testing!H8:I8</f>
        <v>1550519.2637847969</v>
      </c>
      <c r="I8" s="31">
        <f>[1]Testing!H8:I8</f>
        <v>1692388.6922445125</v>
      </c>
      <c r="J8" s="38">
        <f>AA8+AB8+AC8</f>
        <v>1323742.33</v>
      </c>
      <c r="K8" s="26">
        <f>[1]Testing!K8:L8</f>
        <v>1580210.8253789439</v>
      </c>
      <c r="L8" s="31">
        <f>[1]Testing!K8:L8</f>
        <v>1688860.0695476918</v>
      </c>
      <c r="M8" s="38">
        <f>AD8+AE8+AF8</f>
        <v>1459267.77</v>
      </c>
      <c r="N8" s="49">
        <f>[1]Testing!N8:O8</f>
        <v>1642476.6074846541</v>
      </c>
      <c r="O8" s="50">
        <f>[1]Testing!N8:O8</f>
        <v>1704624.9422445125</v>
      </c>
      <c r="P8" s="51">
        <f>AG8+AH8+AI8</f>
        <v>1599718.5999999999</v>
      </c>
      <c r="Q8" s="80">
        <f>E8+H8+K8+N8</f>
        <v>6236092.2831929512</v>
      </c>
      <c r="R8" s="239">
        <f>F8+I8+L8+O8</f>
        <v>6774677.2662812304</v>
      </c>
      <c r="S8" s="88">
        <f>G8+J8+M8+P8</f>
        <v>5725954.5899999999</v>
      </c>
      <c r="U8" s="101">
        <f>[1]Testing!U8:U8</f>
        <v>399647</v>
      </c>
      <c r="V8" s="38">
        <f>[1]Testing!V8:V8</f>
        <v>530884.66999999993</v>
      </c>
      <c r="W8" s="38">
        <f>[1]Testing!W8:W8</f>
        <v>492360</v>
      </c>
      <c r="X8" s="38">
        <f>[1]Testing!X8:X8</f>
        <v>430231.81999999995</v>
      </c>
      <c r="Y8" s="38">
        <f>[1]Testing!Y8:Y8</f>
        <v>455548.97999999992</v>
      </c>
      <c r="Z8" s="38">
        <f>[1]Testing!Z8:Z8</f>
        <v>457445.09000000008</v>
      </c>
      <c r="AA8" s="38">
        <f>[1]Testing!AA8:AA8</f>
        <v>460672.65</v>
      </c>
      <c r="AB8" s="38">
        <f>[1]Testing!AB8:AB8</f>
        <v>445971.61</v>
      </c>
      <c r="AC8" s="38">
        <f>[1]Testing!AC8:AC8</f>
        <v>417098.06999999995</v>
      </c>
      <c r="AD8" s="509">
        <f>[1]Testing!AD8:AD8</f>
        <v>400473.07999999996</v>
      </c>
      <c r="AE8" s="38">
        <f>[1]Testing!AE8:AE8</f>
        <v>518571.66000000003</v>
      </c>
      <c r="AF8" s="38">
        <f>[1]Testing!AF8:AF8</f>
        <v>540223.03</v>
      </c>
      <c r="AG8" s="38">
        <f>[1]Testing!AG8:AG8</f>
        <v>492826.14999999991</v>
      </c>
      <c r="AH8" s="38">
        <f>[1]Testing!AH8:AH8</f>
        <v>518110.56</v>
      </c>
      <c r="AI8" s="38">
        <f>[1]Testing!AI8:AI8</f>
        <v>588781.8899999999</v>
      </c>
    </row>
    <row r="9" spans="1:35" ht="14" thickBot="1">
      <c r="A9" s="247"/>
      <c r="B9" s="295"/>
      <c r="C9" s="296"/>
      <c r="D9" s="297"/>
      <c r="E9" s="410"/>
      <c r="F9" s="411"/>
      <c r="G9" s="412"/>
      <c r="H9" s="6"/>
      <c r="I9" s="1"/>
      <c r="J9" s="7"/>
      <c r="K9" s="6"/>
      <c r="L9" s="1"/>
      <c r="M9" s="7"/>
      <c r="N9" s="55"/>
      <c r="O9" s="56"/>
      <c r="P9" s="57"/>
      <c r="Q9" s="54"/>
      <c r="R9" s="240"/>
      <c r="S9" s="89"/>
      <c r="U9" s="104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</row>
    <row r="10" spans="1:35" ht="14" thickBot="1">
      <c r="A10" s="248" t="s">
        <v>117</v>
      </c>
      <c r="B10" s="298">
        <f>B6-B8</f>
        <v>512582.07000000007</v>
      </c>
      <c r="C10" s="299">
        <f t="shared" ref="C10:R10" si="0">C6-C8</f>
        <v>552873</v>
      </c>
      <c r="D10" s="300">
        <f t="shared" si="0"/>
        <v>520210.70000000019</v>
      </c>
      <c r="E10" s="413">
        <f t="shared" si="0"/>
        <v>370375.41345544299</v>
      </c>
      <c r="F10" s="414">
        <f t="shared" si="0"/>
        <v>544523.63073794357</v>
      </c>
      <c r="G10" s="415">
        <f t="shared" si="0"/>
        <v>396173.45000000019</v>
      </c>
      <c r="H10" s="35">
        <f t="shared" si="0"/>
        <v>357248.73621520307</v>
      </c>
      <c r="I10" s="32">
        <f t="shared" si="0"/>
        <v>578033.50073794369</v>
      </c>
      <c r="J10" s="36">
        <f t="shared" si="0"/>
        <v>73872.509999999776</v>
      </c>
      <c r="K10" s="35">
        <f t="shared" si="0"/>
        <v>430190.17462105607</v>
      </c>
      <c r="L10" s="32">
        <f t="shared" si="0"/>
        <v>582949.35150493961</v>
      </c>
      <c r="M10" s="36">
        <f t="shared" si="0"/>
        <v>266889.49000000022</v>
      </c>
      <c r="N10" s="55">
        <f t="shared" si="0"/>
        <v>436535.39251534594</v>
      </c>
      <c r="O10" s="56">
        <f t="shared" si="0"/>
        <v>530165.25073794369</v>
      </c>
      <c r="P10" s="57">
        <f t="shared" si="0"/>
        <v>317512.24000000022</v>
      </c>
      <c r="Q10" s="32">
        <f t="shared" si="0"/>
        <v>1594349.7168070488</v>
      </c>
      <c r="R10" s="241">
        <f t="shared" si="0"/>
        <v>2235671.7337187696</v>
      </c>
      <c r="S10" s="90">
        <f>S6-S8</f>
        <v>1054447.6899999995</v>
      </c>
      <c r="U10" s="102">
        <f t="shared" ref="U10:AI10" si="1">U6-U8</f>
        <v>3805</v>
      </c>
      <c r="V10" s="102">
        <f t="shared" si="1"/>
        <v>302260.70000000007</v>
      </c>
      <c r="W10" s="102">
        <f t="shared" si="1"/>
        <v>214145</v>
      </c>
      <c r="X10" s="102">
        <f t="shared" si="1"/>
        <v>154310.66000000015</v>
      </c>
      <c r="Y10" s="102">
        <f t="shared" si="1"/>
        <v>138228.81000000011</v>
      </c>
      <c r="Z10" s="102">
        <f t="shared" si="1"/>
        <v>103633.97999999998</v>
      </c>
      <c r="AA10" s="102">
        <f t="shared" si="1"/>
        <v>-104732.91999999998</v>
      </c>
      <c r="AB10" s="102">
        <f t="shared" si="1"/>
        <v>202025.09999999998</v>
      </c>
      <c r="AC10" s="102">
        <f t="shared" si="1"/>
        <v>-23419.669999999925</v>
      </c>
      <c r="AD10" s="102">
        <f t="shared" si="1"/>
        <v>90033.910000000033</v>
      </c>
      <c r="AE10" s="102">
        <f t="shared" si="1"/>
        <v>96178.660000000033</v>
      </c>
      <c r="AF10" s="102">
        <f t="shared" si="1"/>
        <v>80676.920000000042</v>
      </c>
      <c r="AG10" s="102">
        <f t="shared" si="1"/>
        <v>154861.45000000019</v>
      </c>
      <c r="AH10" s="102">
        <f t="shared" si="1"/>
        <v>45119.610000000044</v>
      </c>
      <c r="AI10" s="102">
        <f t="shared" si="1"/>
        <v>117531.18000000017</v>
      </c>
    </row>
    <row r="11" spans="1:35">
      <c r="A11" s="246"/>
      <c r="B11" s="289"/>
      <c r="C11" s="290"/>
      <c r="D11" s="291"/>
      <c r="E11" s="404"/>
      <c r="F11" s="405"/>
      <c r="G11" s="406"/>
      <c r="H11" s="8"/>
      <c r="I11" s="9"/>
      <c r="J11" s="10"/>
      <c r="K11" s="8"/>
      <c r="L11" s="9"/>
      <c r="M11" s="10"/>
      <c r="N11" s="49"/>
      <c r="O11" s="50"/>
      <c r="P11" s="51"/>
      <c r="Q11" s="50"/>
      <c r="R11" s="238"/>
      <c r="S11" s="87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</row>
    <row r="12" spans="1:35">
      <c r="A12" s="249" t="s">
        <v>173</v>
      </c>
      <c r="B12" s="289">
        <f>B15/B20</f>
        <v>0.58742536695049252</v>
      </c>
      <c r="C12" s="290"/>
      <c r="D12" s="291"/>
      <c r="E12" s="404"/>
      <c r="F12" s="405"/>
      <c r="G12" s="406"/>
      <c r="H12" s="8"/>
      <c r="I12" s="9"/>
      <c r="J12" s="10"/>
      <c r="K12" s="8"/>
      <c r="L12" s="9"/>
      <c r="M12" s="10"/>
      <c r="N12" s="49"/>
      <c r="O12" s="50"/>
      <c r="P12" s="51"/>
      <c r="Q12" s="81"/>
      <c r="R12" s="238"/>
      <c r="S12" s="87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</row>
    <row r="13" spans="1:35">
      <c r="A13" s="246"/>
      <c r="B13" s="289"/>
      <c r="C13" s="290"/>
      <c r="D13" s="291"/>
      <c r="E13" s="404"/>
      <c r="F13" s="405"/>
      <c r="G13" s="406"/>
      <c r="H13" s="8"/>
      <c r="I13" s="9"/>
      <c r="J13" s="10"/>
      <c r="K13" s="8"/>
      <c r="L13" s="9"/>
      <c r="M13" s="10"/>
      <c r="N13" s="49"/>
      <c r="O13" s="50"/>
      <c r="P13" s="51"/>
      <c r="Q13" s="50"/>
      <c r="R13" s="238"/>
      <c r="S13" s="87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</row>
    <row r="14" spans="1:35">
      <c r="A14" s="250" t="s">
        <v>167</v>
      </c>
      <c r="B14" s="301">
        <f t="array" ref="B14:P19">[1]Testing!$B$14:$P$19</f>
        <v>0.63</v>
      </c>
      <c r="C14" s="302">
        <v>0.63</v>
      </c>
      <c r="D14" s="303">
        <v>0.63</v>
      </c>
      <c r="E14" s="416">
        <v>0.63</v>
      </c>
      <c r="F14" s="417">
        <v>0.63</v>
      </c>
      <c r="G14" s="418">
        <v>0.63</v>
      </c>
      <c r="H14" s="11">
        <v>0.63</v>
      </c>
      <c r="I14" s="480">
        <v>0.63</v>
      </c>
      <c r="J14" s="481">
        <v>0.63</v>
      </c>
      <c r="K14" s="11">
        <v>0.63</v>
      </c>
      <c r="L14" s="480">
        <v>0.63</v>
      </c>
      <c r="M14" s="481">
        <v>0.63</v>
      </c>
      <c r="N14" s="11">
        <v>0.63</v>
      </c>
      <c r="O14" s="40">
        <v>0.63</v>
      </c>
      <c r="P14" s="44">
        <v>0.63</v>
      </c>
      <c r="Q14" s="40"/>
      <c r="R14" s="242"/>
      <c r="S14" s="91"/>
      <c r="T14" s="52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</row>
    <row r="15" spans="1:35">
      <c r="A15" s="247" t="s">
        <v>118</v>
      </c>
      <c r="B15" s="292">
        <v>131148</v>
      </c>
      <c r="C15" s="293">
        <v>131148</v>
      </c>
      <c r="D15" s="294">
        <v>139180</v>
      </c>
      <c r="E15" s="407">
        <v>131148</v>
      </c>
      <c r="F15" s="408">
        <v>131148</v>
      </c>
      <c r="G15" s="409">
        <v>0.63</v>
      </c>
      <c r="H15" s="8">
        <v>0.63</v>
      </c>
      <c r="I15" s="482">
        <v>0.63</v>
      </c>
      <c r="J15" s="483">
        <v>0.63</v>
      </c>
      <c r="K15" s="8">
        <v>0.63</v>
      </c>
      <c r="L15" s="482">
        <v>0.63</v>
      </c>
      <c r="M15" s="483">
        <v>0.63</v>
      </c>
      <c r="N15" s="49">
        <v>0.63</v>
      </c>
      <c r="O15" s="50">
        <v>0.63</v>
      </c>
      <c r="P15" s="51">
        <v>0.63</v>
      </c>
      <c r="Q15" s="80">
        <f>E15+H15+K15+N15</f>
        <v>131149.89000000001</v>
      </c>
      <c r="R15" s="239">
        <f>F15+I15+L15+O15</f>
        <v>131149.89000000001</v>
      </c>
      <c r="S15" s="92">
        <f>G15+J15+M15+P15</f>
        <v>2.52</v>
      </c>
      <c r="U15" s="101">
        <f>[1]Testing!U15:U15</f>
        <v>-3383.04</v>
      </c>
      <c r="V15" s="101">
        <f>[1]Testing!V15:V15</f>
        <v>4.1721808331696939E+38</v>
      </c>
      <c r="W15" s="101">
        <f>[1]Testing!W15:W15</f>
        <v>0</v>
      </c>
      <c r="X15" s="101">
        <f>[1]Testing!X15:X15</f>
        <v>339642.27</v>
      </c>
      <c r="Y15" s="101">
        <f>[1]Testing!Y15:Y15</f>
        <v>1056441.01</v>
      </c>
      <c r="Z15" s="101">
        <f>[1]Testing!Z15:Z15</f>
        <v>8.7756912979524023E-304</v>
      </c>
      <c r="AA15" s="101">
        <f>[1]Testing!AA15:AA15</f>
        <v>1.1125369292536007E-308</v>
      </c>
      <c r="AB15" s="99"/>
      <c r="AC15" s="99"/>
      <c r="AD15" s="99"/>
      <c r="AE15" s="99"/>
      <c r="AF15" s="99"/>
      <c r="AG15" s="99"/>
      <c r="AH15" s="99"/>
      <c r="AI15" s="99"/>
    </row>
    <row r="16" spans="1:35">
      <c r="A16" s="250" t="s">
        <v>168</v>
      </c>
      <c r="B16" s="301">
        <v>0.63</v>
      </c>
      <c r="C16" s="302">
        <v>0.63</v>
      </c>
      <c r="D16" s="303">
        <v>0.63</v>
      </c>
      <c r="E16" s="416">
        <v>0.63</v>
      </c>
      <c r="F16" s="417">
        <v>0.63</v>
      </c>
      <c r="G16" s="418">
        <v>0.63</v>
      </c>
      <c r="H16" s="11">
        <v>0.63</v>
      </c>
      <c r="I16" s="480">
        <v>0.63</v>
      </c>
      <c r="J16" s="481">
        <v>0.63</v>
      </c>
      <c r="K16" s="11">
        <v>0.63</v>
      </c>
      <c r="L16" s="480">
        <v>0.63</v>
      </c>
      <c r="M16" s="481">
        <v>0.63</v>
      </c>
      <c r="N16" s="11">
        <v>0.63</v>
      </c>
      <c r="O16" s="40">
        <v>0.63</v>
      </c>
      <c r="P16" s="44">
        <v>0.63</v>
      </c>
      <c r="Q16" s="137"/>
      <c r="R16" s="242"/>
      <c r="S16" s="91"/>
      <c r="T16" s="52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</row>
    <row r="17" spans="1:35">
      <c r="A17" s="247" t="s">
        <v>119</v>
      </c>
      <c r="B17" s="292">
        <v>54311</v>
      </c>
      <c r="C17" s="293">
        <v>54311</v>
      </c>
      <c r="D17" s="294">
        <v>42678</v>
      </c>
      <c r="E17" s="407">
        <v>54311</v>
      </c>
      <c r="F17" s="408">
        <v>54311</v>
      </c>
      <c r="G17" s="409">
        <v>0.63</v>
      </c>
      <c r="H17" s="8">
        <v>0.63</v>
      </c>
      <c r="I17" s="482">
        <v>0.63</v>
      </c>
      <c r="J17" s="483">
        <v>0.63</v>
      </c>
      <c r="K17" s="8">
        <v>0.63</v>
      </c>
      <c r="L17" s="482">
        <v>0.63</v>
      </c>
      <c r="M17" s="483">
        <v>0.63</v>
      </c>
      <c r="N17" s="49">
        <v>0.63</v>
      </c>
      <c r="O17" s="50">
        <v>0.63</v>
      </c>
      <c r="P17" s="51">
        <v>0.63</v>
      </c>
      <c r="Q17" s="80">
        <f>E17+H17+K17+N17</f>
        <v>54312.889999999992</v>
      </c>
      <c r="R17" s="239">
        <f>F17+I17+L17+O17</f>
        <v>54312.889999999992</v>
      </c>
      <c r="S17" s="92">
        <f>G17+J17+M17+P17</f>
        <v>2.52</v>
      </c>
      <c r="U17" s="101">
        <f>[1]Testing!U17:U17</f>
        <v>-3383.04</v>
      </c>
      <c r="V17" s="101">
        <f>[1]Testing!V17:V17</f>
        <v>4.1721808331696939E+38</v>
      </c>
      <c r="W17" s="101">
        <f>[1]Testing!W17:W17</f>
        <v>0</v>
      </c>
      <c r="X17" s="101">
        <f>[1]Testing!X17:X17</f>
        <v>339642.27</v>
      </c>
      <c r="Y17" s="101">
        <f>[1]Testing!Y17:Y17</f>
        <v>1056441.01</v>
      </c>
      <c r="Z17" s="101">
        <f>[1]Testing!Z17:Z17</f>
        <v>8.7756912979524023E-304</v>
      </c>
      <c r="AA17" s="101">
        <f>[1]Testing!AA17:AA17</f>
        <v>1.1125369292536007E-308</v>
      </c>
      <c r="AB17" s="99"/>
      <c r="AC17" s="99"/>
      <c r="AD17" s="99"/>
      <c r="AE17" s="99"/>
      <c r="AF17" s="99"/>
      <c r="AG17" s="99"/>
      <c r="AH17" s="99"/>
      <c r="AI17" s="99"/>
    </row>
    <row r="18" spans="1:35">
      <c r="A18" s="250" t="s">
        <v>169</v>
      </c>
      <c r="B18" s="301">
        <v>0.63</v>
      </c>
      <c r="C18" s="302">
        <v>0.63</v>
      </c>
      <c r="D18" s="303">
        <v>0.63</v>
      </c>
      <c r="E18" s="416">
        <v>0.63</v>
      </c>
      <c r="F18" s="417">
        <v>0.63</v>
      </c>
      <c r="G18" s="418">
        <v>0.63</v>
      </c>
      <c r="H18" s="11">
        <v>0.63</v>
      </c>
      <c r="I18" s="480">
        <v>0.63</v>
      </c>
      <c r="J18" s="481">
        <v>0.63</v>
      </c>
      <c r="K18" s="11">
        <v>0.63</v>
      </c>
      <c r="L18" s="480">
        <v>0.63</v>
      </c>
      <c r="M18" s="481">
        <v>0.63</v>
      </c>
      <c r="N18" s="11">
        <v>0.63</v>
      </c>
      <c r="O18" s="40">
        <v>0.63</v>
      </c>
      <c r="P18" s="44">
        <v>0.63</v>
      </c>
      <c r="Q18" s="137"/>
      <c r="R18" s="242"/>
      <c r="S18" s="91"/>
      <c r="T18" s="52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</row>
    <row r="19" spans="1:35">
      <c r="A19" s="251" t="s">
        <v>120</v>
      </c>
      <c r="B19" s="292">
        <v>37800</v>
      </c>
      <c r="C19" s="293">
        <v>37800</v>
      </c>
      <c r="D19" s="294">
        <v>55102</v>
      </c>
      <c r="E19" s="407">
        <v>37800</v>
      </c>
      <c r="F19" s="408">
        <v>37800</v>
      </c>
      <c r="G19" s="409">
        <v>1.3980674267706528E-154</v>
      </c>
      <c r="H19" s="8">
        <v>0.63</v>
      </c>
      <c r="I19" s="482">
        <v>0.63</v>
      </c>
      <c r="J19" s="483">
        <v>0.63</v>
      </c>
      <c r="K19" s="8">
        <v>0.63</v>
      </c>
      <c r="L19" s="482">
        <v>0.63</v>
      </c>
      <c r="M19" s="483">
        <v>0.63</v>
      </c>
      <c r="N19" s="49">
        <v>0.63</v>
      </c>
      <c r="O19" s="50">
        <v>0.63</v>
      </c>
      <c r="P19" s="51">
        <v>0.63</v>
      </c>
      <c r="Q19" s="54">
        <f>E19+H19+K19+N19</f>
        <v>37801.889999999992</v>
      </c>
      <c r="R19" s="243">
        <f>F19+I19+L19+O19</f>
        <v>37801.889999999992</v>
      </c>
      <c r="S19" s="93">
        <f>G19+J19+M19+P19</f>
        <v>1.8900000000000001</v>
      </c>
      <c r="T19" s="9"/>
      <c r="U19" s="101">
        <f>[1]Testing!U19:U19</f>
        <v>-3383.04</v>
      </c>
      <c r="V19" s="101">
        <f>[1]Testing!V19:V19</f>
        <v>4.1721808331696939E+38</v>
      </c>
      <c r="W19" s="101">
        <f>[1]Testing!W19:W19</f>
        <v>0</v>
      </c>
      <c r="X19" s="101">
        <f>[1]Testing!X19:X19</f>
        <v>339642.27</v>
      </c>
      <c r="Y19" s="101">
        <f>[1]Testing!Y19:Y19</f>
        <v>1056441.01</v>
      </c>
      <c r="Z19" s="101">
        <f>[1]Testing!Z19:Z19</f>
        <v>8.7756912979524023E-304</v>
      </c>
      <c r="AA19" s="101">
        <f>[1]Testing!AA19:AA19</f>
        <v>1.1125369292536007E-308</v>
      </c>
      <c r="AB19" s="99"/>
      <c r="AC19" s="99"/>
      <c r="AD19" s="99"/>
      <c r="AE19" s="99"/>
      <c r="AF19" s="99"/>
      <c r="AG19" s="99"/>
      <c r="AH19" s="99"/>
      <c r="AI19" s="99"/>
    </row>
    <row r="20" spans="1:35">
      <c r="A20" s="248" t="s">
        <v>174</v>
      </c>
      <c r="B20" s="298">
        <f>B15+B17+B19</f>
        <v>223259</v>
      </c>
      <c r="C20" s="299">
        <f t="shared" ref="C20:P20" si="2">C15+C17+C19</f>
        <v>223259</v>
      </c>
      <c r="D20" s="300">
        <f t="shared" si="2"/>
        <v>236960</v>
      </c>
      <c r="E20" s="413">
        <f t="shared" si="2"/>
        <v>223259</v>
      </c>
      <c r="F20" s="414">
        <f t="shared" si="2"/>
        <v>223259</v>
      </c>
      <c r="G20" s="415">
        <f t="shared" si="2"/>
        <v>1.26</v>
      </c>
      <c r="H20" s="35">
        <f t="shared" si="2"/>
        <v>1.8900000000000001</v>
      </c>
      <c r="I20" s="484">
        <f t="shared" si="2"/>
        <v>1.8900000000000001</v>
      </c>
      <c r="J20" s="485">
        <f t="shared" si="2"/>
        <v>1.8900000000000001</v>
      </c>
      <c r="K20" s="35">
        <f t="shared" si="2"/>
        <v>1.8900000000000001</v>
      </c>
      <c r="L20" s="484">
        <f t="shared" si="2"/>
        <v>1.8900000000000001</v>
      </c>
      <c r="M20" s="485">
        <f t="shared" si="2"/>
        <v>1.8900000000000001</v>
      </c>
      <c r="N20" s="55">
        <f t="shared" si="2"/>
        <v>1.8900000000000001</v>
      </c>
      <c r="O20" s="56">
        <f t="shared" si="2"/>
        <v>1.8900000000000001</v>
      </c>
      <c r="P20" s="57">
        <f t="shared" si="2"/>
        <v>1.8900000000000001</v>
      </c>
      <c r="Q20" s="32">
        <f>Q19+Q17+Q15</f>
        <v>223264.66999999998</v>
      </c>
      <c r="R20" s="241">
        <f>R19+R17+R15</f>
        <v>223264.66999999998</v>
      </c>
      <c r="S20" s="90">
        <f>S19+S17+S15</f>
        <v>6.93</v>
      </c>
      <c r="T20" s="1"/>
      <c r="U20" s="218">
        <f>U19+U17+U15</f>
        <v>-10149.119999999999</v>
      </c>
      <c r="V20" s="219"/>
      <c r="W20" s="219"/>
      <c r="X20" s="21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</row>
    <row r="21" spans="1:35">
      <c r="A21" s="246"/>
      <c r="B21" s="289"/>
      <c r="C21" s="290"/>
      <c r="D21" s="291"/>
      <c r="E21" s="404"/>
      <c r="F21" s="405"/>
      <c r="G21" s="406"/>
      <c r="H21" s="8"/>
      <c r="I21" s="9"/>
      <c r="J21" s="10"/>
      <c r="K21" s="8"/>
      <c r="L21" s="9"/>
      <c r="M21" s="10"/>
      <c r="N21" s="49"/>
      <c r="O21" s="50"/>
      <c r="P21" s="51"/>
      <c r="Q21" s="50"/>
      <c r="R21" s="238"/>
      <c r="S21" s="92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</row>
    <row r="22" spans="1:35" ht="14" thickBot="1">
      <c r="A22" s="248" t="s">
        <v>175</v>
      </c>
      <c r="B22" s="304">
        <f>B10-B20</f>
        <v>289323.07000000007</v>
      </c>
      <c r="C22" s="305">
        <f t="shared" ref="C22:R22" si="3">C10-C20</f>
        <v>329614</v>
      </c>
      <c r="D22" s="306">
        <f t="shared" si="3"/>
        <v>283250.70000000019</v>
      </c>
      <c r="E22" s="419">
        <f t="shared" si="3"/>
        <v>147116.41345544299</v>
      </c>
      <c r="F22" s="420">
        <f t="shared" si="3"/>
        <v>321264.63073794357</v>
      </c>
      <c r="G22" s="421">
        <f t="shared" si="3"/>
        <v>396172.19000000018</v>
      </c>
      <c r="H22" s="55">
        <f t="shared" si="3"/>
        <v>357246.84621520306</v>
      </c>
      <c r="I22" s="56">
        <f t="shared" si="3"/>
        <v>578031.61073794367</v>
      </c>
      <c r="J22" s="57">
        <f t="shared" si="3"/>
        <v>73870.619999999777</v>
      </c>
      <c r="K22" s="55">
        <f t="shared" si="3"/>
        <v>430188.28462105605</v>
      </c>
      <c r="L22" s="56">
        <f t="shared" si="3"/>
        <v>582947.46150493959</v>
      </c>
      <c r="M22" s="57">
        <f t="shared" si="3"/>
        <v>266887.60000000021</v>
      </c>
      <c r="N22" s="55">
        <f t="shared" si="3"/>
        <v>436533.50251534593</v>
      </c>
      <c r="O22" s="56">
        <f t="shared" si="3"/>
        <v>530163.36073794367</v>
      </c>
      <c r="P22" s="57">
        <f t="shared" si="3"/>
        <v>317510.35000000021</v>
      </c>
      <c r="Q22" s="56">
        <f t="shared" si="3"/>
        <v>1371085.0468070488</v>
      </c>
      <c r="R22" s="240">
        <f t="shared" si="3"/>
        <v>2012407.0637187697</v>
      </c>
      <c r="S22" s="93">
        <f>S10-S20</f>
        <v>1054440.7599999995</v>
      </c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</row>
    <row r="23" spans="1:35" ht="14" thickBot="1">
      <c r="A23" s="246"/>
      <c r="B23" s="307"/>
      <c r="C23" s="308"/>
      <c r="D23" s="309"/>
      <c r="E23" s="422"/>
      <c r="F23" s="423"/>
      <c r="G23" s="424"/>
      <c r="H23" s="49"/>
      <c r="I23" s="50"/>
      <c r="J23" s="51"/>
      <c r="K23" s="49"/>
      <c r="L23" s="50"/>
      <c r="M23" s="51"/>
      <c r="N23" s="49"/>
      <c r="O23" s="50"/>
      <c r="P23" s="51"/>
      <c r="Q23" s="46"/>
      <c r="R23" s="244"/>
      <c r="S23" s="91"/>
      <c r="T23" s="48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</row>
    <row r="24" spans="1:35">
      <c r="A24" s="246" t="s">
        <v>176</v>
      </c>
      <c r="B24" s="289"/>
      <c r="C24" s="290"/>
      <c r="D24" s="291"/>
      <c r="E24" s="404"/>
      <c r="F24" s="405"/>
      <c r="G24" s="406"/>
      <c r="H24" s="8"/>
      <c r="I24" s="9"/>
      <c r="J24" s="10"/>
      <c r="K24" s="8"/>
      <c r="L24" s="9"/>
      <c r="M24" s="10"/>
      <c r="N24" s="49"/>
      <c r="O24" s="50"/>
      <c r="P24" s="51"/>
      <c r="Q24" s="136">
        <v>0.42</v>
      </c>
      <c r="R24" s="242">
        <v>0.42</v>
      </c>
      <c r="S24" s="91"/>
    </row>
    <row r="25" spans="1:35" ht="26">
      <c r="A25" s="252" t="s">
        <v>132</v>
      </c>
      <c r="B25" s="289"/>
      <c r="C25" s="290"/>
      <c r="D25" s="291"/>
      <c r="E25" s="404"/>
      <c r="F25" s="405"/>
      <c r="G25" s="406"/>
      <c r="H25" s="8"/>
      <c r="I25" s="9"/>
      <c r="J25" s="10"/>
      <c r="K25" s="8"/>
      <c r="L25" s="9"/>
      <c r="M25" s="10"/>
      <c r="N25" s="49"/>
      <c r="O25" s="50"/>
      <c r="P25" s="51"/>
      <c r="Q25" s="82">
        <f>E25+H25+K25+N25</f>
        <v>0</v>
      </c>
      <c r="R25" s="238">
        <f>F25+I25+L25+O25</f>
        <v>0</v>
      </c>
      <c r="S25" s="92">
        <f>G25+J25+M25+P25</f>
        <v>0</v>
      </c>
      <c r="U25" t="s">
        <v>177</v>
      </c>
    </row>
    <row r="26" spans="1:35">
      <c r="A26" s="252"/>
      <c r="B26" s="289"/>
      <c r="C26" s="290"/>
      <c r="D26" s="291"/>
      <c r="E26" s="404"/>
      <c r="F26" s="405"/>
      <c r="G26" s="406"/>
      <c r="H26" s="8"/>
      <c r="I26" s="9"/>
      <c r="J26" s="10"/>
      <c r="K26" s="8"/>
      <c r="L26" s="9"/>
      <c r="M26" s="10"/>
      <c r="N26" s="49"/>
      <c r="O26" s="50"/>
      <c r="P26" s="51"/>
      <c r="Q26" s="46"/>
      <c r="R26" s="244"/>
      <c r="S26" s="91"/>
    </row>
    <row r="27" spans="1:35">
      <c r="A27" s="252"/>
      <c r="B27" s="289"/>
      <c r="C27" s="290"/>
      <c r="D27" s="291"/>
      <c r="E27" s="404"/>
      <c r="F27" s="405"/>
      <c r="G27" s="406"/>
      <c r="H27" s="8"/>
      <c r="I27" s="9"/>
      <c r="J27" s="10"/>
      <c r="K27" s="8"/>
      <c r="L27" s="9"/>
      <c r="M27" s="10"/>
      <c r="N27" s="49"/>
      <c r="O27" s="50"/>
      <c r="P27" s="51"/>
      <c r="Q27" s="46"/>
      <c r="R27" s="244"/>
      <c r="S27" s="91"/>
    </row>
    <row r="28" spans="1:35" ht="52">
      <c r="A28" s="252" t="s">
        <v>140</v>
      </c>
      <c r="B28" s="301"/>
      <c r="C28" s="290">
        <f>[1]Testing!$B28:$P28</f>
        <v>0</v>
      </c>
      <c r="D28" s="291">
        <f>[1]Testing!$B26:$P26</f>
        <v>164285.40600000013</v>
      </c>
      <c r="E28" s="416"/>
      <c r="F28" s="405"/>
      <c r="G28" s="406"/>
      <c r="H28" s="11"/>
      <c r="I28" s="9"/>
      <c r="J28" s="10"/>
      <c r="K28" s="11"/>
      <c r="L28" s="9"/>
      <c r="M28" s="10"/>
      <c r="N28" s="49"/>
      <c r="O28" s="50"/>
      <c r="P28" s="51"/>
      <c r="Q28" s="46">
        <f>E28+H28+K28+N28</f>
        <v>0</v>
      </c>
      <c r="R28" s="244">
        <f>F28+I28+L28+O28</f>
        <v>0</v>
      </c>
      <c r="S28" s="91">
        <f>G28+J28+M28+P28</f>
        <v>0</v>
      </c>
    </row>
    <row r="29" spans="1:35">
      <c r="A29" s="252"/>
      <c r="B29" s="289"/>
      <c r="C29" s="290"/>
      <c r="D29" s="291"/>
      <c r="E29" s="404"/>
      <c r="F29" s="405"/>
      <c r="G29" s="406"/>
      <c r="H29" s="8"/>
      <c r="I29" s="9"/>
      <c r="J29" s="10"/>
      <c r="K29" s="8"/>
      <c r="L29" s="9"/>
      <c r="M29" s="10"/>
      <c r="N29" s="49"/>
      <c r="O29" s="50"/>
      <c r="P29" s="51"/>
      <c r="Q29" s="82"/>
      <c r="R29" s="238"/>
      <c r="S29" s="92"/>
    </row>
    <row r="30" spans="1:35" ht="26">
      <c r="A30" s="252" t="s">
        <v>141</v>
      </c>
      <c r="B30" s="292"/>
      <c r="C30" s="293"/>
      <c r="D30" s="309">
        <f>[1]Testing!$B32:$P32</f>
        <v>18701</v>
      </c>
      <c r="E30" s="407"/>
      <c r="F30" s="408"/>
      <c r="G30" s="424"/>
      <c r="H30" s="26"/>
      <c r="I30" s="31"/>
      <c r="J30" s="51"/>
      <c r="K30" s="26"/>
      <c r="L30" s="31"/>
      <c r="M30" s="51"/>
      <c r="N30" s="49"/>
      <c r="O30" s="50"/>
      <c r="P30" s="51"/>
      <c r="Q30" s="46"/>
      <c r="R30" s="244"/>
      <c r="S30" s="91"/>
    </row>
    <row r="31" spans="1:35">
      <c r="A31" s="252" t="s">
        <v>178</v>
      </c>
      <c r="B31" s="289"/>
      <c r="C31" s="293"/>
      <c r="D31" s="310">
        <f>0.1/4</f>
        <v>2.5000000000000001E-2</v>
      </c>
      <c r="E31" s="404"/>
      <c r="F31" s="408"/>
      <c r="G31" s="425"/>
      <c r="H31" s="8"/>
      <c r="I31" s="31"/>
      <c r="J31" s="138"/>
      <c r="K31" s="8"/>
      <c r="L31" s="31"/>
      <c r="M31" s="138"/>
      <c r="N31" s="49"/>
      <c r="O31" s="50"/>
      <c r="P31" s="51"/>
      <c r="Q31" s="46"/>
      <c r="R31" s="244"/>
      <c r="S31" s="91"/>
    </row>
    <row r="32" spans="1:35">
      <c r="A32" s="252"/>
      <c r="B32" s="289"/>
      <c r="C32" s="293"/>
      <c r="E32" s="404"/>
      <c r="F32" s="408"/>
      <c r="H32" s="8"/>
      <c r="I32" s="31"/>
      <c r="K32" s="8"/>
      <c r="L32" s="31"/>
      <c r="N32" s="49"/>
      <c r="O32" s="50"/>
      <c r="P32" s="51"/>
      <c r="Q32" s="82"/>
      <c r="R32" s="244"/>
      <c r="S32" s="91"/>
    </row>
    <row r="33" spans="1:19" ht="26">
      <c r="A33" s="253" t="s">
        <v>144</v>
      </c>
      <c r="B33" s="295"/>
      <c r="C33" s="299"/>
      <c r="D33" s="306">
        <f>[1]Testing!$B34:$P34</f>
        <v>145584.40600000013</v>
      </c>
      <c r="E33" s="410"/>
      <c r="F33" s="414"/>
      <c r="G33" s="421"/>
      <c r="H33" s="6"/>
      <c r="I33" s="32"/>
      <c r="J33" s="57"/>
      <c r="K33" s="6"/>
      <c r="L33" s="32"/>
      <c r="M33" s="57"/>
      <c r="N33" s="55"/>
      <c r="O33" s="56"/>
      <c r="P33" s="57"/>
      <c r="Q33" s="6"/>
      <c r="R33" s="32"/>
      <c r="S33" s="93"/>
    </row>
    <row r="34" spans="1:19">
      <c r="A34" s="252"/>
      <c r="B34" s="289"/>
      <c r="C34" s="290"/>
      <c r="D34" s="291"/>
      <c r="E34" s="404"/>
      <c r="F34" s="405"/>
      <c r="G34" s="406"/>
      <c r="H34" s="8"/>
      <c r="I34" s="9"/>
      <c r="J34" s="10"/>
      <c r="K34" s="8"/>
      <c r="L34" s="9"/>
      <c r="M34" s="10"/>
      <c r="N34" s="49"/>
      <c r="O34" s="50"/>
      <c r="P34" s="51"/>
      <c r="Q34" s="46"/>
      <c r="R34" s="244"/>
      <c r="S34" s="91"/>
    </row>
    <row r="35" spans="1:19">
      <c r="A35" s="254" t="s">
        <v>179</v>
      </c>
      <c r="B35" s="289"/>
      <c r="C35" s="290"/>
      <c r="D35" s="291">
        <f>[1]Testing!$B35:$P35</f>
        <v>0</v>
      </c>
      <c r="E35" s="404"/>
      <c r="F35" s="405"/>
      <c r="G35" s="406"/>
      <c r="H35" s="8"/>
      <c r="I35" s="9"/>
      <c r="J35" s="10"/>
      <c r="K35" s="8"/>
      <c r="L35" s="9"/>
      <c r="M35" s="10"/>
      <c r="N35" s="49"/>
      <c r="O35" s="50"/>
      <c r="P35" s="51"/>
      <c r="Q35" s="46"/>
      <c r="R35" s="244"/>
      <c r="S35" s="87"/>
    </row>
    <row r="36" spans="1:19">
      <c r="A36" s="252" t="s">
        <v>156</v>
      </c>
      <c r="B36" s="289">
        <f>[1]Testing!B36</f>
        <v>5</v>
      </c>
      <c r="C36" s="290"/>
      <c r="D36" s="291">
        <f>[1]Testing!$B36:$P36</f>
        <v>0</v>
      </c>
      <c r="E36" s="404"/>
      <c r="F36" s="405"/>
      <c r="G36" s="406"/>
      <c r="H36" s="8"/>
      <c r="I36" s="9"/>
      <c r="J36" s="10"/>
      <c r="K36" s="8"/>
      <c r="L36" s="9"/>
      <c r="M36" s="10"/>
      <c r="N36" s="49"/>
      <c r="O36" s="50"/>
      <c r="P36" s="51"/>
      <c r="Q36" s="46"/>
      <c r="R36" s="244"/>
      <c r="S36" s="87"/>
    </row>
    <row r="37" spans="1:19">
      <c r="A37" s="252" t="s">
        <v>157</v>
      </c>
      <c r="B37" s="289">
        <f>[1]Testing!B37</f>
        <v>0</v>
      </c>
      <c r="C37" s="290"/>
      <c r="D37" s="291">
        <f>[1]Testing!$B37:$P37</f>
        <v>0</v>
      </c>
      <c r="E37" s="404"/>
      <c r="F37" s="405"/>
      <c r="G37" s="406"/>
      <c r="H37" s="8"/>
      <c r="I37" s="9"/>
      <c r="J37" s="10"/>
      <c r="K37" s="8"/>
      <c r="L37" s="9"/>
      <c r="M37" s="10"/>
      <c r="N37" s="49"/>
      <c r="O37" s="50"/>
      <c r="P37" s="51"/>
      <c r="Q37" s="46"/>
      <c r="R37" s="244"/>
      <c r="S37" s="87"/>
    </row>
    <row r="38" spans="1:19">
      <c r="A38" s="252" t="s">
        <v>158</v>
      </c>
      <c r="B38" s="289">
        <f>[1]Testing!B38</f>
        <v>0</v>
      </c>
      <c r="C38" s="290"/>
      <c r="D38" s="291">
        <f>[1]Testing!$B38:$P38</f>
        <v>0</v>
      </c>
      <c r="E38" s="404"/>
      <c r="F38" s="405"/>
      <c r="G38" s="406"/>
      <c r="H38" s="8"/>
      <c r="I38" s="9"/>
      <c r="J38" s="10"/>
      <c r="K38" s="8"/>
      <c r="L38" s="9"/>
      <c r="M38" s="10"/>
      <c r="N38" s="49"/>
      <c r="O38" s="50"/>
      <c r="P38" s="51"/>
      <c r="Q38" s="8"/>
      <c r="R38" s="244"/>
      <c r="S38" s="10"/>
    </row>
    <row r="39" spans="1:19">
      <c r="A39" s="252" t="s">
        <v>180</v>
      </c>
      <c r="B39" s="289">
        <f>[1]Testing!B39</f>
        <v>0</v>
      </c>
      <c r="C39" s="290"/>
      <c r="D39" s="291"/>
      <c r="E39" s="404"/>
      <c r="F39" s="405"/>
      <c r="G39" s="406"/>
      <c r="H39" s="8"/>
      <c r="I39" s="9"/>
      <c r="J39" s="10"/>
      <c r="K39" s="8"/>
      <c r="L39" s="9"/>
      <c r="M39" s="10"/>
      <c r="N39" s="49"/>
      <c r="O39" s="50"/>
      <c r="P39" s="51"/>
      <c r="Q39" s="8"/>
      <c r="R39" s="244"/>
      <c r="S39" s="10"/>
    </row>
    <row r="40" spans="1:19">
      <c r="A40" s="246" t="s">
        <v>160</v>
      </c>
      <c r="B40" s="289">
        <f>[1]Testing!B40</f>
        <v>0</v>
      </c>
      <c r="C40" s="290"/>
      <c r="D40" s="291"/>
      <c r="E40" s="404"/>
      <c r="F40" s="405"/>
      <c r="G40" s="406"/>
      <c r="H40" s="8"/>
      <c r="I40" s="9"/>
      <c r="J40" s="10"/>
      <c r="K40" s="8"/>
      <c r="L40" s="9"/>
      <c r="M40" s="10"/>
      <c r="N40" s="49"/>
      <c r="O40" s="50"/>
      <c r="P40" s="51"/>
      <c r="Q40" s="8"/>
      <c r="R40" s="244"/>
      <c r="S40" s="10"/>
    </row>
    <row r="41" spans="1:19">
      <c r="A41" s="246" t="s">
        <v>161</v>
      </c>
      <c r="B41" s="289">
        <f>[1]Testing!B41</f>
        <v>0</v>
      </c>
      <c r="C41" s="290"/>
      <c r="D41" s="291"/>
      <c r="E41" s="404"/>
      <c r="F41" s="405"/>
      <c r="G41" s="406"/>
      <c r="H41" s="8"/>
      <c r="I41" s="9"/>
      <c r="J41" s="10"/>
      <c r="K41" s="8"/>
      <c r="L41" s="9"/>
      <c r="M41" s="10"/>
      <c r="N41" s="49"/>
      <c r="O41" s="50"/>
      <c r="P41" s="51"/>
      <c r="Q41" s="8"/>
      <c r="R41" s="244"/>
      <c r="S41" s="10"/>
    </row>
    <row r="42" spans="1:19">
      <c r="A42" s="246" t="s">
        <v>162</v>
      </c>
      <c r="B42" s="289">
        <f>[1]Testing!B42</f>
        <v>0</v>
      </c>
      <c r="C42" s="290"/>
      <c r="D42" s="291"/>
      <c r="E42" s="404"/>
      <c r="F42" s="405"/>
      <c r="G42" s="406"/>
      <c r="H42" s="8"/>
      <c r="I42" s="9"/>
      <c r="J42" s="10"/>
      <c r="K42" s="8"/>
      <c r="L42" s="9"/>
      <c r="M42" s="10"/>
      <c r="N42" s="49"/>
      <c r="O42" s="50"/>
      <c r="P42" s="51"/>
      <c r="Q42" s="8"/>
      <c r="R42" s="244"/>
      <c r="S42" s="10"/>
    </row>
    <row r="43" spans="1:19">
      <c r="A43" s="246" t="s">
        <v>163</v>
      </c>
      <c r="B43" s="289">
        <f>[1]Testing!B43</f>
        <v>5</v>
      </c>
      <c r="C43" s="290"/>
      <c r="D43" s="291"/>
      <c r="E43" s="404"/>
      <c r="F43" s="405"/>
      <c r="G43" s="406"/>
      <c r="H43" s="8"/>
      <c r="I43" s="9"/>
      <c r="J43" s="10"/>
      <c r="K43" s="8"/>
      <c r="L43" s="9"/>
      <c r="M43" s="10"/>
      <c r="N43" s="49"/>
      <c r="O43" s="50"/>
      <c r="P43" s="51"/>
      <c r="Q43" s="8"/>
      <c r="R43" s="244"/>
      <c r="S43" s="10"/>
    </row>
    <row r="44" spans="1:19">
      <c r="A44" s="246" t="s">
        <v>87</v>
      </c>
      <c r="B44" s="289">
        <f>[1]Testing!B44</f>
        <v>0</v>
      </c>
      <c r="C44" s="290"/>
      <c r="D44" s="291"/>
      <c r="E44" s="404"/>
      <c r="F44" s="405"/>
      <c r="G44" s="406"/>
      <c r="H44" s="8"/>
      <c r="I44" s="9"/>
      <c r="J44" s="10"/>
      <c r="K44" s="8"/>
      <c r="L44" s="9"/>
      <c r="M44" s="10"/>
      <c r="N44" s="49"/>
      <c r="O44" s="50"/>
      <c r="P44" s="51"/>
      <c r="Q44" s="8"/>
      <c r="R44" s="244"/>
      <c r="S44" s="10"/>
    </row>
    <row r="45" spans="1:19" ht="14" thickBot="1">
      <c r="A45" s="255" t="s">
        <v>181</v>
      </c>
      <c r="B45" s="311">
        <f>[1]Testing!B45</f>
        <v>0</v>
      </c>
      <c r="C45" s="312"/>
      <c r="D45" s="313"/>
      <c r="E45" s="426"/>
      <c r="F45" s="427"/>
      <c r="G45" s="428"/>
      <c r="H45" s="12"/>
      <c r="I45" s="13"/>
      <c r="J45" s="14"/>
      <c r="K45" s="12"/>
      <c r="L45" s="13"/>
      <c r="M45" s="14"/>
      <c r="N45" s="68"/>
      <c r="O45" s="69"/>
      <c r="P45" s="70"/>
      <c r="Q45" s="12"/>
      <c r="R45" s="245"/>
      <c r="S45" s="14"/>
    </row>
    <row r="46" spans="1:19">
      <c r="Q46" s="9"/>
      <c r="R46" s="9"/>
      <c r="S46" s="87"/>
    </row>
    <row r="47" spans="1:19" ht="14" thickBot="1">
      <c r="Q47" s="9"/>
      <c r="R47" s="9"/>
      <c r="S47" s="87"/>
    </row>
    <row r="48" spans="1:19" ht="14" thickTop="1">
      <c r="A48" s="258" t="s">
        <v>171</v>
      </c>
      <c r="B48" s="314">
        <v>2086172</v>
      </c>
      <c r="C48" s="315">
        <v>2187455</v>
      </c>
      <c r="D48" s="316">
        <v>1943102.37</v>
      </c>
      <c r="E48" s="429">
        <v>1833261</v>
      </c>
      <c r="F48" s="430">
        <v>2233327.1929824562</v>
      </c>
      <c r="G48" s="431">
        <v>580132.07999999996</v>
      </c>
      <c r="H48" s="259">
        <v>1907768</v>
      </c>
      <c r="I48" s="260">
        <v>2270422.1929824562</v>
      </c>
      <c r="J48" s="261">
        <v>0</v>
      </c>
      <c r="K48" s="259">
        <v>2010401</v>
      </c>
      <c r="L48" s="260">
        <v>2271809.4210526315</v>
      </c>
      <c r="M48" s="261">
        <v>0</v>
      </c>
      <c r="N48" s="508">
        <v>2079012</v>
      </c>
      <c r="O48" s="263">
        <v>2234790.1929824562</v>
      </c>
      <c r="P48" s="502">
        <v>0</v>
      </c>
      <c r="Q48" s="262">
        <v>7830442</v>
      </c>
      <c r="R48" s="263">
        <v>9010349</v>
      </c>
      <c r="S48" s="264"/>
    </row>
    <row r="49" spans="1:19">
      <c r="A49" s="265"/>
      <c r="B49" s="289"/>
      <c r="C49" s="290"/>
      <c r="D49" s="291">
        <v>0</v>
      </c>
      <c r="E49" s="404"/>
      <c r="F49" s="405"/>
      <c r="G49" s="406">
        <v>0</v>
      </c>
      <c r="H49" s="8"/>
      <c r="I49" s="9"/>
      <c r="J49" s="10">
        <v>0</v>
      </c>
      <c r="K49" s="8"/>
      <c r="L49" s="9"/>
      <c r="M49" s="10">
        <v>0</v>
      </c>
      <c r="N49" s="49"/>
      <c r="O49" s="50"/>
      <c r="P49" s="51">
        <v>0</v>
      </c>
      <c r="Q49" s="80"/>
      <c r="R49" s="50"/>
      <c r="S49" s="266"/>
    </row>
    <row r="50" spans="1:19">
      <c r="A50" s="265" t="s">
        <v>172</v>
      </c>
      <c r="B50" s="292">
        <v>1558175</v>
      </c>
      <c r="C50" s="293">
        <v>1634582</v>
      </c>
      <c r="D50" s="294">
        <v>1422891.67</v>
      </c>
      <c r="E50" s="407">
        <v>1462885.586544557</v>
      </c>
      <c r="F50" s="408">
        <v>1688803.5622445126</v>
      </c>
      <c r="G50" s="409">
        <v>425819</v>
      </c>
      <c r="H50" s="26">
        <v>1550519.2637847969</v>
      </c>
      <c r="I50" s="31">
        <v>1692388.6922445125</v>
      </c>
      <c r="J50" s="38">
        <v>0</v>
      </c>
      <c r="K50" s="26">
        <v>1580210.8253789439</v>
      </c>
      <c r="L50" s="31">
        <v>1688860.0695476918</v>
      </c>
      <c r="M50" s="38">
        <v>0</v>
      </c>
      <c r="N50" s="49">
        <v>1642476.6074846541</v>
      </c>
      <c r="O50" s="50">
        <v>1704624.9422445125</v>
      </c>
      <c r="P50" s="51">
        <v>0</v>
      </c>
      <c r="Q50" s="80">
        <v>6236092.2831929512</v>
      </c>
      <c r="R50" s="80">
        <v>6774677.2662812304</v>
      </c>
      <c r="S50" s="266"/>
    </row>
    <row r="51" spans="1:19">
      <c r="A51" s="265"/>
      <c r="B51" s="295"/>
      <c r="C51" s="296"/>
      <c r="D51" s="297"/>
      <c r="E51" s="410"/>
      <c r="F51" s="411"/>
      <c r="G51" s="412"/>
      <c r="H51" s="6"/>
      <c r="I51" s="1"/>
      <c r="J51" s="7"/>
      <c r="K51" s="6"/>
      <c r="L51" s="1"/>
      <c r="M51" s="7"/>
      <c r="N51" s="55"/>
      <c r="O51" s="56"/>
      <c r="P51" s="57"/>
      <c r="Q51" s="54"/>
      <c r="R51" s="56"/>
      <c r="S51" s="266"/>
    </row>
    <row r="52" spans="1:19">
      <c r="A52" s="267" t="s">
        <v>117</v>
      </c>
      <c r="B52" s="298">
        <v>527997</v>
      </c>
      <c r="C52" s="299">
        <v>552873</v>
      </c>
      <c r="D52" s="300">
        <v>520210.7</v>
      </c>
      <c r="E52" s="413">
        <v>370375.41345544299</v>
      </c>
      <c r="F52" s="414">
        <v>544523.63073794357</v>
      </c>
      <c r="G52" s="415">
        <v>154313.07999999999</v>
      </c>
      <c r="H52" s="35">
        <v>357248.73621520307</v>
      </c>
      <c r="I52" s="32">
        <v>578033.50073794369</v>
      </c>
      <c r="J52" s="36">
        <v>0</v>
      </c>
      <c r="K52" s="35">
        <v>430190.17462105607</v>
      </c>
      <c r="L52" s="32">
        <v>582949.35150493961</v>
      </c>
      <c r="M52" s="36">
        <v>0</v>
      </c>
      <c r="N52" s="55">
        <v>436535.39251534594</v>
      </c>
      <c r="O52" s="56">
        <v>530165.25073794369</v>
      </c>
      <c r="P52" s="57">
        <v>0</v>
      </c>
      <c r="Q52" s="32">
        <v>1594349.7168070488</v>
      </c>
      <c r="R52" s="32">
        <v>2235671.7337187696</v>
      </c>
      <c r="S52" s="266"/>
    </row>
    <row r="53" spans="1:19">
      <c r="A53" s="268"/>
      <c r="B53" s="289"/>
      <c r="C53" s="290"/>
      <c r="D53" s="291"/>
      <c r="E53" s="404"/>
      <c r="F53" s="405"/>
      <c r="G53" s="406"/>
      <c r="H53" s="8"/>
      <c r="I53" s="9"/>
      <c r="J53" s="10"/>
      <c r="K53" s="8"/>
      <c r="L53" s="9"/>
      <c r="M53" s="10"/>
      <c r="N53" s="49"/>
      <c r="O53" s="50"/>
      <c r="P53" s="51"/>
      <c r="Q53" s="50"/>
      <c r="R53" s="50"/>
      <c r="S53" s="266"/>
    </row>
    <row r="54" spans="1:19">
      <c r="A54" s="269" t="s">
        <v>173</v>
      </c>
      <c r="B54" s="289">
        <v>0.58742536695049252</v>
      </c>
      <c r="C54" s="290"/>
      <c r="D54" s="291"/>
      <c r="E54" s="404"/>
      <c r="F54" s="405"/>
      <c r="G54" s="406"/>
      <c r="H54" s="8"/>
      <c r="I54" s="9"/>
      <c r="J54" s="10"/>
      <c r="K54" s="8"/>
      <c r="L54" s="9"/>
      <c r="M54" s="10"/>
      <c r="N54" s="49"/>
      <c r="O54" s="50"/>
      <c r="P54" s="51"/>
      <c r="Q54" s="81"/>
      <c r="R54" s="50"/>
      <c r="S54" s="266"/>
    </row>
    <row r="55" spans="1:19">
      <c r="A55" s="268"/>
      <c r="B55" s="289"/>
      <c r="C55" s="290"/>
      <c r="D55" s="291"/>
      <c r="E55" s="404"/>
      <c r="F55" s="405"/>
      <c r="G55" s="406"/>
      <c r="H55" s="8"/>
      <c r="I55" s="9"/>
      <c r="J55" s="10"/>
      <c r="K55" s="8"/>
      <c r="L55" s="9"/>
      <c r="M55" s="10"/>
      <c r="N55" s="49"/>
      <c r="O55" s="50"/>
      <c r="P55" s="51"/>
      <c r="Q55" s="50"/>
      <c r="R55" s="50"/>
      <c r="S55" s="266"/>
    </row>
    <row r="56" spans="1:19">
      <c r="A56" s="270" t="s">
        <v>167</v>
      </c>
      <c r="B56" s="301">
        <v>0.63</v>
      </c>
      <c r="C56" s="302">
        <v>0.63</v>
      </c>
      <c r="D56" s="303">
        <v>0.63</v>
      </c>
      <c r="E56" s="416">
        <v>0.63</v>
      </c>
      <c r="F56" s="417">
        <v>0.63</v>
      </c>
      <c r="G56" s="418">
        <v>0.63</v>
      </c>
      <c r="H56" s="11">
        <v>0.63</v>
      </c>
      <c r="I56" s="40">
        <v>0.63</v>
      </c>
      <c r="J56" s="44">
        <v>0.63</v>
      </c>
      <c r="K56" s="11">
        <v>0.63</v>
      </c>
      <c r="L56" s="40">
        <v>0.63</v>
      </c>
      <c r="M56" s="44">
        <v>0.63</v>
      </c>
      <c r="N56" s="49">
        <v>0.63</v>
      </c>
      <c r="O56" s="50">
        <v>0.63</v>
      </c>
      <c r="P56" s="51">
        <v>0.63</v>
      </c>
      <c r="Q56" s="40"/>
      <c r="R56" s="40"/>
      <c r="S56" s="266"/>
    </row>
    <row r="57" spans="1:19" ht="14" thickBot="1">
      <c r="A57" s="265" t="s">
        <v>118</v>
      </c>
      <c r="B57" s="292">
        <v>131148</v>
      </c>
      <c r="C57" s="293">
        <v>131148</v>
      </c>
      <c r="D57" s="294">
        <v>139180</v>
      </c>
      <c r="E57" s="407">
        <v>131148</v>
      </c>
      <c r="F57" s="408">
        <v>131148</v>
      </c>
      <c r="G57" s="409">
        <v>0</v>
      </c>
      <c r="H57" s="8">
        <v>131148</v>
      </c>
      <c r="I57" s="9">
        <v>131148</v>
      </c>
      <c r="J57" s="10">
        <v>0</v>
      </c>
      <c r="K57" s="8">
        <v>131148</v>
      </c>
      <c r="L57" s="9">
        <v>131148</v>
      </c>
      <c r="M57" s="10">
        <v>0</v>
      </c>
      <c r="N57" s="49">
        <v>131148</v>
      </c>
      <c r="O57" s="50">
        <v>131148</v>
      </c>
      <c r="P57" s="51">
        <v>0</v>
      </c>
      <c r="Q57" s="80">
        <v>524592</v>
      </c>
      <c r="R57" s="80">
        <v>524592</v>
      </c>
      <c r="S57" s="271"/>
    </row>
    <row r="58" spans="1:19">
      <c r="A58" s="270" t="s">
        <v>168</v>
      </c>
      <c r="B58" s="301">
        <v>0.63</v>
      </c>
      <c r="C58" s="302">
        <v>0.63</v>
      </c>
      <c r="D58" s="303">
        <v>0.63</v>
      </c>
      <c r="E58" s="416">
        <v>0.63</v>
      </c>
      <c r="F58" s="417">
        <v>0.63</v>
      </c>
      <c r="G58" s="418">
        <v>0</v>
      </c>
      <c r="H58" s="11">
        <v>0.63</v>
      </c>
      <c r="I58" s="40">
        <v>0.63</v>
      </c>
      <c r="J58" s="44">
        <v>0.63</v>
      </c>
      <c r="K58" s="11">
        <v>0.63</v>
      </c>
      <c r="L58" s="40">
        <v>0.63</v>
      </c>
      <c r="M58" s="44">
        <v>0.63</v>
      </c>
      <c r="N58" s="49">
        <v>0.63</v>
      </c>
      <c r="O58" s="50">
        <v>0.63</v>
      </c>
      <c r="P58" s="51">
        <v>0.63</v>
      </c>
      <c r="Q58" s="137"/>
      <c r="R58" s="40"/>
      <c r="S58" s="272"/>
    </row>
    <row r="59" spans="1:19">
      <c r="A59" s="265" t="s">
        <v>119</v>
      </c>
      <c r="B59" s="292">
        <v>54311</v>
      </c>
      <c r="C59" s="293">
        <v>54311</v>
      </c>
      <c r="D59" s="294">
        <v>42678</v>
      </c>
      <c r="E59" s="407">
        <v>54311</v>
      </c>
      <c r="F59" s="408">
        <v>54311</v>
      </c>
      <c r="G59" s="409">
        <v>0</v>
      </c>
      <c r="H59" s="8">
        <v>54311</v>
      </c>
      <c r="I59" s="9">
        <v>54311</v>
      </c>
      <c r="J59" s="10">
        <v>0</v>
      </c>
      <c r="K59" s="8">
        <v>54311</v>
      </c>
      <c r="L59" s="9">
        <v>54311</v>
      </c>
      <c r="M59" s="10">
        <v>0</v>
      </c>
      <c r="N59" s="49">
        <v>54311</v>
      </c>
      <c r="O59" s="50">
        <v>54311</v>
      </c>
      <c r="P59" s="51">
        <v>0</v>
      </c>
      <c r="Q59" s="80">
        <v>217244</v>
      </c>
      <c r="R59" s="80">
        <v>217244</v>
      </c>
      <c r="S59" s="272"/>
    </row>
    <row r="60" spans="1:19">
      <c r="A60" s="270" t="s">
        <v>169</v>
      </c>
      <c r="B60" s="301">
        <v>0.63</v>
      </c>
      <c r="C60" s="302">
        <v>0.63</v>
      </c>
      <c r="D60" s="303">
        <v>0.63</v>
      </c>
      <c r="E60" s="416">
        <v>0.63</v>
      </c>
      <c r="F60" s="417">
        <v>0.63</v>
      </c>
      <c r="G60" s="418">
        <v>0</v>
      </c>
      <c r="H60" s="11">
        <v>0.63</v>
      </c>
      <c r="I60" s="40">
        <v>0.63</v>
      </c>
      <c r="J60" s="44">
        <v>0.63</v>
      </c>
      <c r="K60" s="11">
        <v>0.63</v>
      </c>
      <c r="L60" s="40">
        <v>0.63</v>
      </c>
      <c r="M60" s="44">
        <v>0.63</v>
      </c>
      <c r="N60" s="49">
        <v>0.63</v>
      </c>
      <c r="O60" s="50">
        <v>0.63</v>
      </c>
      <c r="P60" s="51">
        <v>0.63</v>
      </c>
      <c r="Q60" s="137"/>
      <c r="R60" s="40"/>
      <c r="S60" s="272"/>
    </row>
    <row r="61" spans="1:19">
      <c r="A61" s="273" t="s">
        <v>120</v>
      </c>
      <c r="B61" s="292">
        <v>37800</v>
      </c>
      <c r="C61" s="293">
        <v>37800</v>
      </c>
      <c r="D61" s="294">
        <v>55102</v>
      </c>
      <c r="E61" s="407">
        <v>37800</v>
      </c>
      <c r="F61" s="408">
        <v>37800</v>
      </c>
      <c r="G61" s="409">
        <v>0</v>
      </c>
      <c r="H61" s="8">
        <v>37800</v>
      </c>
      <c r="I61" s="9">
        <v>37800</v>
      </c>
      <c r="J61" s="10">
        <v>0</v>
      </c>
      <c r="K61" s="8">
        <v>37800</v>
      </c>
      <c r="L61" s="9">
        <v>37800</v>
      </c>
      <c r="M61" s="10">
        <v>0</v>
      </c>
      <c r="N61" s="49">
        <v>37800</v>
      </c>
      <c r="O61" s="50">
        <v>37800</v>
      </c>
      <c r="P61" s="51">
        <v>0</v>
      </c>
      <c r="Q61" s="54">
        <v>151200</v>
      </c>
      <c r="R61" s="54">
        <v>151200</v>
      </c>
      <c r="S61" s="272"/>
    </row>
    <row r="62" spans="1:19">
      <c r="A62" s="267" t="s">
        <v>174</v>
      </c>
      <c r="B62" s="298">
        <v>223259</v>
      </c>
      <c r="C62" s="299">
        <v>223259</v>
      </c>
      <c r="D62" s="300">
        <v>236960</v>
      </c>
      <c r="E62" s="413">
        <v>223259</v>
      </c>
      <c r="F62" s="414">
        <v>223259</v>
      </c>
      <c r="G62" s="415">
        <v>0</v>
      </c>
      <c r="H62" s="35">
        <v>223259</v>
      </c>
      <c r="I62" s="32">
        <v>223259</v>
      </c>
      <c r="J62" s="36">
        <v>0</v>
      </c>
      <c r="K62" s="35">
        <v>223259</v>
      </c>
      <c r="L62" s="32">
        <v>223259</v>
      </c>
      <c r="M62" s="36">
        <v>0</v>
      </c>
      <c r="N62" s="55">
        <v>223259</v>
      </c>
      <c r="O62" s="56">
        <v>223259</v>
      </c>
      <c r="P62" s="57">
        <v>0</v>
      </c>
      <c r="Q62" s="32">
        <v>893036</v>
      </c>
      <c r="R62" s="32">
        <v>893036</v>
      </c>
      <c r="S62" s="272"/>
    </row>
    <row r="63" spans="1:19">
      <c r="A63" s="268"/>
      <c r="B63" s="289"/>
      <c r="C63" s="290"/>
      <c r="D63" s="291"/>
      <c r="E63" s="404"/>
      <c r="F63" s="405"/>
      <c r="G63" s="406"/>
      <c r="H63" s="8"/>
      <c r="I63" s="9"/>
      <c r="J63" s="10"/>
      <c r="K63" s="8"/>
      <c r="L63" s="9"/>
      <c r="M63" s="10"/>
      <c r="N63" s="49"/>
      <c r="O63" s="50"/>
      <c r="P63" s="51"/>
      <c r="Q63" s="50"/>
      <c r="R63" s="50"/>
      <c r="S63" s="272"/>
    </row>
    <row r="64" spans="1:19">
      <c r="A64" s="267" t="s">
        <v>175</v>
      </c>
      <c r="B64" s="304">
        <v>304738</v>
      </c>
      <c r="C64" s="305">
        <v>329614</v>
      </c>
      <c r="D64" s="306">
        <v>283250.7</v>
      </c>
      <c r="E64" s="419">
        <v>147116.41345544299</v>
      </c>
      <c r="F64" s="420">
        <v>321264.63073794357</v>
      </c>
      <c r="G64" s="421">
        <v>154313.07999999999</v>
      </c>
      <c r="H64" s="55">
        <v>133989.73621520307</v>
      </c>
      <c r="I64" s="56">
        <v>354774.50073794369</v>
      </c>
      <c r="J64" s="57">
        <v>0</v>
      </c>
      <c r="K64" s="55">
        <v>206931.17462105607</v>
      </c>
      <c r="L64" s="56">
        <v>359690.35150493961</v>
      </c>
      <c r="M64" s="57">
        <v>0</v>
      </c>
      <c r="N64" s="55">
        <v>213276.39251534594</v>
      </c>
      <c r="O64" s="56">
        <v>306906.25073794369</v>
      </c>
      <c r="P64" s="57">
        <v>0</v>
      </c>
      <c r="Q64" s="56">
        <v>701313.71680704877</v>
      </c>
      <c r="R64" s="56">
        <v>1342635.7337187696</v>
      </c>
      <c r="S64" s="272"/>
    </row>
    <row r="65" spans="1:35">
      <c r="A65" s="268"/>
      <c r="B65" s="290"/>
      <c r="C65" s="290"/>
      <c r="D65" s="290"/>
      <c r="E65" s="405"/>
      <c r="F65" s="405"/>
      <c r="G65" s="405"/>
      <c r="H65" s="9"/>
      <c r="I65" s="9"/>
      <c r="J65" s="9"/>
      <c r="K65" s="9"/>
      <c r="L65" s="9"/>
      <c r="M65" s="9"/>
      <c r="N65" s="50"/>
      <c r="O65" s="50"/>
      <c r="P65" s="50"/>
      <c r="Q65" s="9"/>
      <c r="R65" s="9"/>
      <c r="S65" s="272"/>
    </row>
    <row r="66" spans="1:35">
      <c r="A66" s="268"/>
      <c r="B66" s="290" t="s">
        <v>182</v>
      </c>
      <c r="C66" s="290"/>
      <c r="D66" s="290"/>
      <c r="E66" s="405"/>
      <c r="F66" s="405"/>
      <c r="G66" s="405"/>
      <c r="H66" s="9"/>
      <c r="I66" s="9"/>
      <c r="J66" s="9"/>
      <c r="K66" s="9"/>
      <c r="L66" s="9"/>
      <c r="M66" s="9"/>
      <c r="N66" s="50"/>
      <c r="O66" s="50"/>
      <c r="P66" s="50"/>
      <c r="Q66" s="9"/>
      <c r="R66" s="9"/>
      <c r="S66" s="272"/>
    </row>
    <row r="67" spans="1:35">
      <c r="A67" s="274" t="s">
        <v>171</v>
      </c>
      <c r="B67" s="317">
        <f t="shared" ref="B67:Q67" si="4">B48-B6</f>
        <v>-18112</v>
      </c>
      <c r="C67" s="317">
        <f t="shared" si="4"/>
        <v>0</v>
      </c>
      <c r="D67" s="317">
        <f t="shared" si="4"/>
        <v>0</v>
      </c>
      <c r="E67" s="432">
        <f t="shared" si="4"/>
        <v>0</v>
      </c>
      <c r="F67" s="432">
        <f t="shared" si="4"/>
        <v>0</v>
      </c>
      <c r="G67" s="432">
        <f t="shared" si="4"/>
        <v>-1159267.2600000002</v>
      </c>
      <c r="H67" s="256">
        <f t="shared" si="4"/>
        <v>0</v>
      </c>
      <c r="I67" s="256">
        <f t="shared" si="4"/>
        <v>0</v>
      </c>
      <c r="J67" s="256">
        <f t="shared" si="4"/>
        <v>-1397614.8399999999</v>
      </c>
      <c r="K67" s="256">
        <f t="shared" si="4"/>
        <v>0</v>
      </c>
      <c r="L67" s="256">
        <f t="shared" si="4"/>
        <v>0</v>
      </c>
      <c r="M67" s="256">
        <f t="shared" si="4"/>
        <v>-1726157.2600000002</v>
      </c>
      <c r="N67" s="50">
        <f t="shared" si="4"/>
        <v>0</v>
      </c>
      <c r="O67" s="50">
        <f t="shared" si="4"/>
        <v>0</v>
      </c>
      <c r="P67" s="50">
        <f t="shared" si="4"/>
        <v>-1917230.84</v>
      </c>
      <c r="Q67" s="256">
        <f t="shared" si="4"/>
        <v>0</v>
      </c>
      <c r="R67" s="256">
        <f>R48-R6</f>
        <v>0</v>
      </c>
      <c r="S67" s="275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</row>
    <row r="68" spans="1:35">
      <c r="A68" s="274"/>
      <c r="B68" s="317"/>
      <c r="C68" s="317"/>
      <c r="D68" s="317"/>
      <c r="E68" s="432"/>
      <c r="F68" s="432"/>
      <c r="G68" s="432"/>
      <c r="H68" s="256"/>
      <c r="I68" s="256"/>
      <c r="J68" s="256"/>
      <c r="K68" s="256"/>
      <c r="L68" s="256"/>
      <c r="M68" s="256"/>
      <c r="N68" s="50"/>
      <c r="O68" s="50"/>
      <c r="P68" s="50"/>
      <c r="Q68" s="256"/>
      <c r="R68" s="256"/>
      <c r="S68" s="275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</row>
    <row r="69" spans="1:35">
      <c r="A69" s="274" t="s">
        <v>172</v>
      </c>
      <c r="B69" s="317">
        <f t="shared" ref="B69:Q69" si="5">B50-B8</f>
        <v>-33526.929999999935</v>
      </c>
      <c r="C69" s="317">
        <f t="shared" si="5"/>
        <v>0</v>
      </c>
      <c r="D69" s="317">
        <f t="shared" si="5"/>
        <v>0</v>
      </c>
      <c r="E69" s="432">
        <f t="shared" si="5"/>
        <v>0</v>
      </c>
      <c r="F69" s="432">
        <f t="shared" si="5"/>
        <v>0</v>
      </c>
      <c r="G69" s="432">
        <f t="shared" si="5"/>
        <v>-917406.8899999999</v>
      </c>
      <c r="H69" s="256">
        <f t="shared" si="5"/>
        <v>0</v>
      </c>
      <c r="I69" s="256">
        <f t="shared" si="5"/>
        <v>0</v>
      </c>
      <c r="J69" s="256">
        <f t="shared" si="5"/>
        <v>-1323742.33</v>
      </c>
      <c r="K69" s="256">
        <f t="shared" si="5"/>
        <v>0</v>
      </c>
      <c r="L69" s="256">
        <f t="shared" si="5"/>
        <v>0</v>
      </c>
      <c r="M69" s="256">
        <f t="shared" si="5"/>
        <v>-1459267.77</v>
      </c>
      <c r="N69" s="50">
        <f t="shared" si="5"/>
        <v>0</v>
      </c>
      <c r="O69" s="50">
        <f t="shared" si="5"/>
        <v>0</v>
      </c>
      <c r="P69" s="50">
        <f t="shared" si="5"/>
        <v>-1599718.5999999999</v>
      </c>
      <c r="Q69" s="256">
        <f t="shared" si="5"/>
        <v>0</v>
      </c>
      <c r="R69" s="256">
        <f>R50-R8</f>
        <v>0</v>
      </c>
      <c r="S69" s="275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</row>
    <row r="70" spans="1:35">
      <c r="A70" s="265"/>
      <c r="B70" s="290"/>
      <c r="C70" s="290"/>
      <c r="D70" s="290"/>
      <c r="E70" s="405"/>
      <c r="F70" s="405"/>
      <c r="G70" s="405"/>
      <c r="H70" s="9"/>
      <c r="I70" s="9"/>
      <c r="J70" s="9"/>
      <c r="K70" s="9"/>
      <c r="L70" s="9"/>
      <c r="M70" s="9"/>
      <c r="N70" s="50"/>
      <c r="O70" s="50"/>
      <c r="P70" s="50"/>
      <c r="Q70" s="9"/>
      <c r="R70" s="9"/>
      <c r="S70" s="272"/>
    </row>
    <row r="71" spans="1:35">
      <c r="A71" s="267" t="s">
        <v>117</v>
      </c>
      <c r="B71" s="290"/>
      <c r="C71" s="290"/>
      <c r="D71" s="290"/>
      <c r="E71" s="405"/>
      <c r="F71" s="405"/>
      <c r="G71" s="405"/>
      <c r="H71" s="9"/>
      <c r="I71" s="9"/>
      <c r="J71" s="9"/>
      <c r="K71" s="9"/>
      <c r="L71" s="9"/>
      <c r="M71" s="9"/>
      <c r="N71" s="50"/>
      <c r="O71" s="50"/>
      <c r="P71" s="50"/>
      <c r="Q71" s="9"/>
      <c r="R71" s="9"/>
      <c r="S71" s="272"/>
    </row>
    <row r="72" spans="1:35">
      <c r="A72" s="268"/>
      <c r="B72" s="290"/>
      <c r="C72" s="290"/>
      <c r="D72" s="290"/>
      <c r="E72" s="405"/>
      <c r="F72" s="405"/>
      <c r="G72" s="405"/>
      <c r="H72" s="9"/>
      <c r="I72" s="9"/>
      <c r="J72" s="9"/>
      <c r="K72" s="9"/>
      <c r="L72" s="9"/>
      <c r="M72" s="9"/>
      <c r="N72" s="50"/>
      <c r="O72" s="50"/>
      <c r="P72" s="50"/>
      <c r="Q72" s="9"/>
      <c r="R72" s="9"/>
      <c r="S72" s="272"/>
    </row>
    <row r="73" spans="1:35">
      <c r="A73" s="269" t="s">
        <v>173</v>
      </c>
      <c r="B73" s="290"/>
      <c r="C73" s="290"/>
      <c r="D73" s="290"/>
      <c r="E73" s="405"/>
      <c r="F73" s="405"/>
      <c r="G73" s="405"/>
      <c r="H73" s="9"/>
      <c r="I73" s="9"/>
      <c r="J73" s="9"/>
      <c r="K73" s="9"/>
      <c r="L73" s="9"/>
      <c r="M73" s="9"/>
      <c r="N73" s="50"/>
      <c r="O73" s="50"/>
      <c r="P73" s="50"/>
      <c r="Q73" s="9"/>
      <c r="R73" s="9"/>
      <c r="S73" s="272"/>
    </row>
    <row r="74" spans="1:35">
      <c r="A74" s="268"/>
      <c r="B74" s="290"/>
      <c r="C74" s="290"/>
      <c r="D74" s="290"/>
      <c r="E74" s="405"/>
      <c r="F74" s="405"/>
      <c r="G74" s="405"/>
      <c r="H74" s="9"/>
      <c r="I74" s="9"/>
      <c r="J74" s="9"/>
      <c r="K74" s="9"/>
      <c r="L74" s="9"/>
      <c r="M74" s="9"/>
      <c r="N74" s="50"/>
      <c r="O74" s="50"/>
      <c r="P74" s="50"/>
      <c r="Q74" s="9"/>
      <c r="R74" s="9"/>
      <c r="S74" s="272"/>
    </row>
    <row r="75" spans="1:35">
      <c r="A75" s="270" t="s">
        <v>167</v>
      </c>
      <c r="B75" s="290"/>
      <c r="C75" s="290"/>
      <c r="D75" s="290"/>
      <c r="E75" s="405"/>
      <c r="F75" s="405"/>
      <c r="G75" s="405"/>
      <c r="H75" s="9"/>
      <c r="I75" s="9"/>
      <c r="J75" s="9"/>
      <c r="K75" s="9"/>
      <c r="L75" s="9"/>
      <c r="M75" s="9"/>
      <c r="N75" s="50"/>
      <c r="O75" s="50"/>
      <c r="P75" s="50"/>
      <c r="Q75" s="9"/>
      <c r="R75" s="9"/>
      <c r="S75" s="272"/>
    </row>
    <row r="76" spans="1:35">
      <c r="A76" s="265" t="s">
        <v>118</v>
      </c>
      <c r="B76" s="290"/>
      <c r="C76" s="290"/>
      <c r="D76" s="290"/>
      <c r="E76" s="405"/>
      <c r="F76" s="405"/>
      <c r="G76" s="405"/>
      <c r="H76" s="9"/>
      <c r="I76" s="9"/>
      <c r="J76" s="9"/>
      <c r="K76" s="9"/>
      <c r="L76" s="9"/>
      <c r="M76" s="9"/>
      <c r="N76" s="50"/>
      <c r="O76" s="50"/>
      <c r="P76" s="50"/>
      <c r="Q76" s="9"/>
      <c r="R76" s="9"/>
      <c r="S76" s="272"/>
    </row>
    <row r="77" spans="1:35">
      <c r="A77" s="270" t="s">
        <v>168</v>
      </c>
      <c r="B77" s="290"/>
      <c r="C77" s="290"/>
      <c r="D77" s="290"/>
      <c r="E77" s="405"/>
      <c r="F77" s="405"/>
      <c r="G77" s="405"/>
      <c r="H77" s="9"/>
      <c r="I77" s="9"/>
      <c r="J77" s="9"/>
      <c r="K77" s="9"/>
      <c r="L77" s="9"/>
      <c r="M77" s="9"/>
      <c r="N77" s="50"/>
      <c r="O77" s="50"/>
      <c r="P77" s="50"/>
      <c r="Q77" s="9"/>
      <c r="R77" s="9"/>
      <c r="S77" s="272"/>
    </row>
    <row r="78" spans="1:35">
      <c r="A78" s="265" t="s">
        <v>119</v>
      </c>
      <c r="B78" s="290"/>
      <c r="C78" s="290"/>
      <c r="D78" s="290"/>
      <c r="E78" s="405"/>
      <c r="F78" s="405"/>
      <c r="G78" s="405"/>
      <c r="H78" s="9"/>
      <c r="I78" s="9"/>
      <c r="J78" s="9"/>
      <c r="K78" s="9"/>
      <c r="L78" s="9"/>
      <c r="M78" s="9"/>
      <c r="N78" s="50"/>
      <c r="O78" s="50"/>
      <c r="P78" s="50"/>
      <c r="Q78" s="9"/>
      <c r="R78" s="9"/>
      <c r="S78" s="272"/>
    </row>
    <row r="79" spans="1:35">
      <c r="A79" s="270" t="s">
        <v>169</v>
      </c>
      <c r="B79" s="290"/>
      <c r="C79" s="290"/>
      <c r="D79" s="290"/>
      <c r="E79" s="405"/>
      <c r="F79" s="405"/>
      <c r="G79" s="405"/>
      <c r="H79" s="9"/>
      <c r="I79" s="9"/>
      <c r="J79" s="9"/>
      <c r="K79" s="9"/>
      <c r="L79" s="9"/>
      <c r="M79" s="9"/>
      <c r="N79" s="50"/>
      <c r="O79" s="50"/>
      <c r="P79" s="50"/>
      <c r="Q79" s="9"/>
      <c r="R79" s="9"/>
      <c r="S79" s="272"/>
    </row>
    <row r="80" spans="1:35">
      <c r="A80" s="273" t="s">
        <v>120</v>
      </c>
      <c r="B80" s="290"/>
      <c r="C80" s="290"/>
      <c r="D80" s="290"/>
      <c r="E80" s="405"/>
      <c r="F80" s="405"/>
      <c r="G80" s="405"/>
      <c r="H80" s="9"/>
      <c r="I80" s="9"/>
      <c r="J80" s="9"/>
      <c r="K80" s="9"/>
      <c r="L80" s="9"/>
      <c r="M80" s="9"/>
      <c r="N80" s="50"/>
      <c r="O80" s="50"/>
      <c r="P80" s="50"/>
      <c r="Q80" s="9"/>
      <c r="R80" s="9"/>
      <c r="S80" s="272"/>
    </row>
    <row r="81" spans="1:19" ht="14" thickBot="1">
      <c r="A81" s="276" t="s">
        <v>174</v>
      </c>
      <c r="B81" s="318"/>
      <c r="C81" s="318"/>
      <c r="D81" s="318"/>
      <c r="E81" s="433"/>
      <c r="F81" s="433"/>
      <c r="G81" s="433"/>
      <c r="H81" s="277"/>
      <c r="I81" s="277"/>
      <c r="J81" s="277"/>
      <c r="K81" s="277"/>
      <c r="L81" s="277"/>
      <c r="M81" s="277"/>
      <c r="N81" s="503"/>
      <c r="O81" s="503"/>
      <c r="P81" s="503"/>
      <c r="Q81" s="277"/>
      <c r="R81" s="277"/>
      <c r="S81" s="278"/>
    </row>
    <row r="82" spans="1:19" ht="14" thickTop="1"/>
    <row r="83" spans="1:19">
      <c r="A83" s="39" t="s">
        <v>175</v>
      </c>
    </row>
  </sheetData>
  <printOptions gridLines="1" gridLinesSet="0"/>
  <pageMargins left="0.75" right="0.75" top="1" bottom="1" header="0.5" footer="0.5"/>
  <pageSetup paperSize="0" scale="73" orientation="landscape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abSelected="1" workbookViewId="0">
      <pane xSplit="1" ySplit="4" topLeftCell="AA5" activePane="bottomRight" state="frozenSplit"/>
      <selection pane="topRight" activeCell="B1" sqref="B1"/>
      <selection pane="bottomLeft" activeCell="A4" sqref="A4"/>
      <selection pane="bottomRight" activeCell="AI19" sqref="AI19"/>
    </sheetView>
  </sheetViews>
  <sheetFormatPr baseColWidth="10" defaultColWidth="11.42578125" defaultRowHeight="13" x14ac:dyDescent="0"/>
  <cols>
    <col min="1" max="1" width="30.5703125" customWidth="1"/>
    <col min="2" max="2" width="10.85546875" customWidth="1"/>
    <col min="3" max="3" width="10.85546875" style="27" customWidth="1"/>
    <col min="4" max="9" width="10.85546875" customWidth="1"/>
    <col min="10" max="10" width="12.140625" customWidth="1"/>
    <col min="11" max="12" width="10.85546875" customWidth="1"/>
    <col min="13" max="13" width="11.7109375" customWidth="1"/>
    <col min="14" max="16" width="10.85546875" customWidth="1"/>
    <col min="17" max="18" width="11.85546875" customWidth="1"/>
  </cols>
  <sheetData>
    <row r="1" spans="1:35" ht="4" customHeight="1" thickBot="1">
      <c r="U1" s="97"/>
      <c r="V1" s="97"/>
      <c r="W1" s="97"/>
      <c r="X1" s="97"/>
      <c r="Y1" s="97"/>
      <c r="Z1" s="97"/>
      <c r="AA1" s="97"/>
      <c r="AB1" s="97"/>
      <c r="AC1" s="97"/>
    </row>
    <row r="2" spans="1:35">
      <c r="B2" s="15">
        <v>1996</v>
      </c>
      <c r="C2" s="41">
        <v>1996</v>
      </c>
      <c r="D2" s="19">
        <v>1996</v>
      </c>
      <c r="E2" s="15">
        <v>1997</v>
      </c>
      <c r="F2" s="18">
        <v>1997</v>
      </c>
      <c r="G2" s="19">
        <v>1997</v>
      </c>
      <c r="H2" s="15">
        <v>1997</v>
      </c>
      <c r="I2" s="18">
        <v>1997</v>
      </c>
      <c r="J2" s="19">
        <v>1997</v>
      </c>
      <c r="K2" s="18">
        <v>1997</v>
      </c>
      <c r="L2" s="19">
        <v>1997</v>
      </c>
      <c r="M2" s="19">
        <v>1997</v>
      </c>
      <c r="N2" s="18">
        <v>1997</v>
      </c>
      <c r="O2" s="19">
        <v>1997</v>
      </c>
      <c r="P2" s="19">
        <v>1997</v>
      </c>
      <c r="Q2" s="18">
        <v>1997</v>
      </c>
      <c r="R2" s="18">
        <v>1997</v>
      </c>
      <c r="S2" s="84">
        <v>1997</v>
      </c>
      <c r="U2" s="98" t="s">
        <v>103</v>
      </c>
      <c r="V2" s="98" t="s">
        <v>103</v>
      </c>
      <c r="W2" s="98" t="s">
        <v>103</v>
      </c>
      <c r="X2" s="98" t="s">
        <v>103</v>
      </c>
      <c r="Y2" s="98" t="s">
        <v>103</v>
      </c>
      <c r="Z2" s="98" t="s">
        <v>103</v>
      </c>
      <c r="AA2" s="98" t="s">
        <v>103</v>
      </c>
      <c r="AB2" s="98" t="s">
        <v>103</v>
      </c>
      <c r="AC2" s="98" t="s">
        <v>103</v>
      </c>
      <c r="AD2" s="98" t="s">
        <v>103</v>
      </c>
      <c r="AE2" s="98" t="s">
        <v>103</v>
      </c>
      <c r="AF2" s="98" t="s">
        <v>103</v>
      </c>
      <c r="AG2" s="98"/>
      <c r="AH2" s="98"/>
      <c r="AI2" s="98"/>
    </row>
    <row r="3" spans="1:35">
      <c r="B3" s="16" t="s">
        <v>104</v>
      </c>
      <c r="C3" s="42" t="s">
        <v>104</v>
      </c>
      <c r="D3" s="21" t="s">
        <v>104</v>
      </c>
      <c r="E3" s="16" t="s">
        <v>105</v>
      </c>
      <c r="F3" s="20" t="s">
        <v>105</v>
      </c>
      <c r="G3" s="21" t="s">
        <v>105</v>
      </c>
      <c r="H3" s="16" t="s">
        <v>106</v>
      </c>
      <c r="I3" s="20" t="s">
        <v>106</v>
      </c>
      <c r="J3" s="21" t="s">
        <v>106</v>
      </c>
      <c r="K3" s="20" t="s">
        <v>108</v>
      </c>
      <c r="L3" s="21" t="s">
        <v>108</v>
      </c>
      <c r="M3" s="21" t="s">
        <v>107</v>
      </c>
      <c r="N3" s="20" t="s">
        <v>104</v>
      </c>
      <c r="O3" s="21" t="s">
        <v>104</v>
      </c>
      <c r="P3" s="21" t="s">
        <v>104</v>
      </c>
      <c r="Q3" s="20" t="s">
        <v>109</v>
      </c>
      <c r="R3" s="20" t="s">
        <v>109</v>
      </c>
      <c r="S3" s="85" t="s">
        <v>109</v>
      </c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</row>
    <row r="4" spans="1:35">
      <c r="A4" s="1"/>
      <c r="B4" s="17" t="s">
        <v>111</v>
      </c>
      <c r="C4" s="3" t="s">
        <v>112</v>
      </c>
      <c r="D4" s="23" t="s">
        <v>103</v>
      </c>
      <c r="E4" s="17" t="s">
        <v>111</v>
      </c>
      <c r="F4" s="22" t="s">
        <v>112</v>
      </c>
      <c r="G4" s="23" t="s">
        <v>103</v>
      </c>
      <c r="H4" s="17" t="s">
        <v>111</v>
      </c>
      <c r="I4" s="22" t="s">
        <v>112</v>
      </c>
      <c r="J4" s="23" t="s">
        <v>103</v>
      </c>
      <c r="K4" s="22" t="s">
        <v>183</v>
      </c>
      <c r="L4" s="23" t="s">
        <v>184</v>
      </c>
      <c r="M4" s="23" t="s">
        <v>103</v>
      </c>
      <c r="N4" s="17" t="s">
        <v>111</v>
      </c>
      <c r="O4" s="22" t="s">
        <v>112</v>
      </c>
      <c r="P4" s="23" t="s">
        <v>103</v>
      </c>
      <c r="Q4" s="22" t="s">
        <v>111</v>
      </c>
      <c r="R4" s="22" t="s">
        <v>112</v>
      </c>
      <c r="S4" s="86" t="s">
        <v>103</v>
      </c>
      <c r="U4" s="100">
        <v>33877</v>
      </c>
      <c r="V4" s="100">
        <v>33908</v>
      </c>
      <c r="W4" s="100">
        <v>33938</v>
      </c>
      <c r="X4" s="100">
        <v>33969</v>
      </c>
      <c r="Y4" s="100">
        <v>34000</v>
      </c>
      <c r="Z4" s="100">
        <v>34028</v>
      </c>
      <c r="AA4" s="100">
        <v>34059</v>
      </c>
      <c r="AB4" s="100">
        <v>34089</v>
      </c>
      <c r="AC4" s="100">
        <v>34120</v>
      </c>
      <c r="AD4" s="100">
        <v>34150</v>
      </c>
      <c r="AE4" s="100">
        <v>34181</v>
      </c>
      <c r="AF4" s="100">
        <v>34212</v>
      </c>
      <c r="AG4" s="100">
        <v>34242</v>
      </c>
      <c r="AH4" s="100">
        <v>34273</v>
      </c>
      <c r="AI4" s="100">
        <v>34303</v>
      </c>
    </row>
    <row r="5" spans="1:35">
      <c r="B5" s="49"/>
      <c r="C5" s="50"/>
      <c r="D5" s="51"/>
      <c r="E5" s="49"/>
      <c r="F5" s="50"/>
      <c r="G5" s="51"/>
      <c r="H5" s="49"/>
      <c r="I5" s="50"/>
      <c r="J5" s="51"/>
      <c r="K5" s="49"/>
      <c r="L5" s="50"/>
      <c r="M5" s="51"/>
      <c r="N5" s="49"/>
      <c r="O5" s="50"/>
      <c r="P5" s="51"/>
      <c r="Q5" s="50"/>
      <c r="R5" s="50"/>
      <c r="S5" s="87"/>
      <c r="T5" s="48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</row>
    <row r="6" spans="1:35">
      <c r="A6" s="37" t="s">
        <v>185</v>
      </c>
      <c r="B6" s="49">
        <f t="array" ref="B6:P6">'[2]Equip Aux'!$B$6:$P$6</f>
        <v>1729631</v>
      </c>
      <c r="C6" s="50">
        <v>1926631</v>
      </c>
      <c r="D6" s="51">
        <v>1666490.432</v>
      </c>
      <c r="E6" s="49">
        <v>1673631</v>
      </c>
      <c r="F6" s="50">
        <v>1839631</v>
      </c>
      <c r="G6" s="51">
        <v>1338641.8</v>
      </c>
      <c r="H6" s="49">
        <v>1871631</v>
      </c>
      <c r="I6" s="50">
        <v>2012631</v>
      </c>
      <c r="J6" s="51">
        <v>1326665.01</v>
      </c>
      <c r="K6" s="49">
        <v>1879631</v>
      </c>
      <c r="L6" s="50">
        <v>2033631</v>
      </c>
      <c r="M6" s="51">
        <v>1695595.3360000001</v>
      </c>
      <c r="N6" s="49">
        <v>1889631</v>
      </c>
      <c r="O6" s="50">
        <v>2125631</v>
      </c>
      <c r="P6" s="51">
        <v>1679295.92</v>
      </c>
      <c r="Q6" s="80">
        <f>N6+K6+H6+E6</f>
        <v>7314524</v>
      </c>
      <c r="R6" s="50">
        <f>O6+L6+I6+F6</f>
        <v>8011524</v>
      </c>
      <c r="S6" s="92">
        <f>P6+M6+J6+G6</f>
        <v>6040198.0659999996</v>
      </c>
      <c r="T6" s="48"/>
      <c r="U6" s="49">
        <f>'[2]Equip Aux'!U6:U6</f>
        <v>642704.68000000005</v>
      </c>
      <c r="V6" s="49">
        <f>'[2]Equip Aux'!V6:V6</f>
        <v>527067.304</v>
      </c>
      <c r="W6" s="49">
        <f>'[2]Equip Aux'!W6:W6</f>
        <v>496718.44799999997</v>
      </c>
      <c r="X6" s="49">
        <f>'[2]Equip Aux'!X6:X6</f>
        <v>438532.4</v>
      </c>
      <c r="Y6" s="49">
        <f>'[2]Equip Aux'!Y6:Y6</f>
        <v>451845.4</v>
      </c>
      <c r="Z6" s="49">
        <f>'[2]Equip Aux'!Z6:Z6</f>
        <v>448264</v>
      </c>
      <c r="AA6" s="49">
        <f>'[2]Equip Aux'!AA6:AA6</f>
        <v>479666.8</v>
      </c>
      <c r="AB6" s="49">
        <f>'[2]Equip Aux'!AB6:AB6</f>
        <v>354624.01</v>
      </c>
      <c r="AC6" s="49">
        <f>'[2]Equip Aux'!AC6:AC6</f>
        <v>492374.2</v>
      </c>
      <c r="AD6" s="49">
        <f>'[2]Equip Aux'!AD6:AD6</f>
        <v>650463.93599999999</v>
      </c>
      <c r="AE6" s="49">
        <f>'[2]Equip Aux'!AE6:AE6</f>
        <v>441974.75999999995</v>
      </c>
      <c r="AF6" s="49">
        <f>'[2]Equip Aux'!AF6:AF6</f>
        <v>603156.64</v>
      </c>
      <c r="AG6" s="49">
        <f>'[2]Equip Aux'!AG6:AG6</f>
        <v>614692.03</v>
      </c>
      <c r="AH6" s="49">
        <f>'[2]Equip Aux'!AH6:AH6</f>
        <v>572211.93999999994</v>
      </c>
      <c r="AI6" s="140">
        <f>'[2]Equip Aux'!AI6:AI6</f>
        <v>492392</v>
      </c>
    </row>
    <row r="7" spans="1:35">
      <c r="A7" s="2"/>
      <c r="B7" s="49"/>
      <c r="C7" s="50"/>
      <c r="D7" s="51"/>
      <c r="E7" s="49"/>
      <c r="F7" s="50"/>
      <c r="G7" s="51"/>
      <c r="H7" s="49"/>
      <c r="I7" s="50"/>
      <c r="J7" s="51"/>
      <c r="K7" s="49"/>
      <c r="L7" s="50"/>
      <c r="M7" s="51"/>
      <c r="N7" s="49"/>
      <c r="O7" s="50"/>
      <c r="P7" s="51"/>
      <c r="Q7" s="80"/>
      <c r="R7" s="50"/>
      <c r="S7" s="92"/>
      <c r="T7" s="48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</row>
    <row r="8" spans="1:35">
      <c r="A8" s="37" t="s">
        <v>186</v>
      </c>
      <c r="B8" s="49">
        <f t="array" ref="B8:P8">'[2]Equip Aux'!$B$8:$P$8</f>
        <v>1481000</v>
      </c>
      <c r="C8" s="50">
        <v>1523000</v>
      </c>
      <c r="D8" s="51">
        <v>1418443.6</v>
      </c>
      <c r="E8" s="49">
        <v>1425740</v>
      </c>
      <c r="F8" s="50">
        <v>1452280</v>
      </c>
      <c r="G8" s="51">
        <v>1180201.8</v>
      </c>
      <c r="H8" s="49">
        <v>1410940</v>
      </c>
      <c r="I8" s="50">
        <v>1457280</v>
      </c>
      <c r="J8" s="51">
        <v>1296561.5</v>
      </c>
      <c r="K8" s="49">
        <v>1386940</v>
      </c>
      <c r="L8" s="50">
        <v>1436280</v>
      </c>
      <c r="M8" s="51">
        <v>1381968.8940000001</v>
      </c>
      <c r="N8" s="49">
        <v>1386940</v>
      </c>
      <c r="O8" s="50">
        <v>1452280</v>
      </c>
      <c r="P8" s="51">
        <v>1155144.7500000002</v>
      </c>
      <c r="Q8" s="80">
        <f>N8+K8+H8+E8</f>
        <v>5610560</v>
      </c>
      <c r="R8" s="80">
        <f>O8+L8+I8+F8</f>
        <v>5798120</v>
      </c>
      <c r="S8" s="92">
        <f>P8+M8+J8+G8</f>
        <v>5013876.9440000001</v>
      </c>
      <c r="T8" s="48"/>
      <c r="U8" s="49">
        <f>'[2]Equip Aux'!U8:U8</f>
        <v>492002</v>
      </c>
      <c r="V8" s="49">
        <f>'[2]Equip Aux'!V8:V8</f>
        <v>474072.6</v>
      </c>
      <c r="W8" s="49">
        <f>'[2]Equip Aux'!W8:W8</f>
        <v>452369</v>
      </c>
      <c r="X8" s="49">
        <f>'[2]Equip Aux'!X8:X8</f>
        <v>358282</v>
      </c>
      <c r="Y8" s="49">
        <f>'[2]Equip Aux'!Y8:Y8</f>
        <v>411933.4</v>
      </c>
      <c r="Z8" s="49">
        <f>'[2]Equip Aux'!Z8:Z8</f>
        <v>409986.4</v>
      </c>
      <c r="AA8" s="49">
        <f>'[2]Equip Aux'!AA8:AA8</f>
        <v>431734</v>
      </c>
      <c r="AB8" s="49">
        <f>'[2]Equip Aux'!AB8:AB8</f>
        <v>381916.94</v>
      </c>
      <c r="AC8" s="49">
        <f>'[2]Equip Aux'!AC8:AC8</f>
        <v>482910.56</v>
      </c>
      <c r="AD8" s="49">
        <f>'[2]Equip Aux'!AD8:AD8</f>
        <v>634941.97399999993</v>
      </c>
      <c r="AE8" s="49">
        <f>'[2]Equip Aux'!AE8:AE8</f>
        <v>321119.26999999996</v>
      </c>
      <c r="AF8" s="49">
        <f>'[2]Equip Aux'!AF8:AF8</f>
        <v>446153.16000000003</v>
      </c>
      <c r="AG8" s="49">
        <f>'[2]Equip Aux'!AG8:AG8</f>
        <v>384073.46</v>
      </c>
      <c r="AH8" s="49">
        <f>'[2]Equip Aux'!AH8:AH8</f>
        <v>401484.93</v>
      </c>
      <c r="AI8" s="140">
        <f>'[2]Equip Aux'!AI8:AI8</f>
        <v>375342</v>
      </c>
    </row>
    <row r="9" spans="1:35" ht="14" thickBot="1">
      <c r="A9" s="3"/>
      <c r="B9" s="55"/>
      <c r="C9" s="56"/>
      <c r="D9" s="57"/>
      <c r="E9" s="55"/>
      <c r="F9" s="56"/>
      <c r="G9" s="57"/>
      <c r="H9" s="55"/>
      <c r="I9" s="56"/>
      <c r="J9" s="57"/>
      <c r="K9" s="55"/>
      <c r="L9" s="56"/>
      <c r="M9" s="57"/>
      <c r="N9" s="55"/>
      <c r="O9" s="56"/>
      <c r="P9" s="57"/>
      <c r="Q9" s="54"/>
      <c r="R9" s="56"/>
      <c r="S9" s="93"/>
      <c r="T9" s="48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</row>
    <row r="10" spans="1:35" ht="14" thickBot="1">
      <c r="A10" s="34" t="s">
        <v>117</v>
      </c>
      <c r="B10" s="55">
        <f>B6-B8</f>
        <v>248631</v>
      </c>
      <c r="C10" s="56">
        <f t="shared" ref="C10:R10" si="0">C6-C8</f>
        <v>403631</v>
      </c>
      <c r="D10" s="57">
        <f t="shared" si="0"/>
        <v>248046.83199999994</v>
      </c>
      <c r="E10" s="55">
        <f t="shared" si="0"/>
        <v>247891</v>
      </c>
      <c r="F10" s="56">
        <f t="shared" si="0"/>
        <v>387351</v>
      </c>
      <c r="G10" s="57">
        <f t="shared" si="0"/>
        <v>158440</v>
      </c>
      <c r="H10" s="55">
        <f t="shared" si="0"/>
        <v>460691</v>
      </c>
      <c r="I10" s="56">
        <f t="shared" si="0"/>
        <v>555351</v>
      </c>
      <c r="J10" s="57">
        <f t="shared" si="0"/>
        <v>30103.510000000009</v>
      </c>
      <c r="K10" s="55">
        <f t="shared" si="0"/>
        <v>492691</v>
      </c>
      <c r="L10" s="56">
        <f t="shared" si="0"/>
        <v>597351</v>
      </c>
      <c r="M10" s="57">
        <f t="shared" si="0"/>
        <v>313626.44200000004</v>
      </c>
      <c r="N10" s="55">
        <f t="shared" si="0"/>
        <v>502691</v>
      </c>
      <c r="O10" s="56">
        <f t="shared" si="0"/>
        <v>673351</v>
      </c>
      <c r="P10" s="57">
        <f t="shared" si="0"/>
        <v>524151.16999999969</v>
      </c>
      <c r="Q10" s="56">
        <f t="shared" si="0"/>
        <v>1703964</v>
      </c>
      <c r="R10" s="56">
        <f t="shared" si="0"/>
        <v>2213404</v>
      </c>
      <c r="S10" s="93">
        <f>S6-S8</f>
        <v>1026321.1219999995</v>
      </c>
      <c r="T10" s="48"/>
      <c r="U10" s="102">
        <f t="shared" ref="U10:AI10" si="1">U6-U8</f>
        <v>150702.68000000005</v>
      </c>
      <c r="V10" s="102">
        <f t="shared" si="1"/>
        <v>52994.704000000027</v>
      </c>
      <c r="W10" s="102">
        <f t="shared" si="1"/>
        <v>44349.447999999975</v>
      </c>
      <c r="X10" s="102">
        <f t="shared" si="1"/>
        <v>80250.400000000023</v>
      </c>
      <c r="Y10" s="102">
        <f t="shared" si="1"/>
        <v>39912</v>
      </c>
      <c r="Z10" s="102">
        <f t="shared" si="1"/>
        <v>38277.599999999977</v>
      </c>
      <c r="AA10" s="102">
        <f t="shared" si="1"/>
        <v>47932.799999999988</v>
      </c>
      <c r="AB10" s="102">
        <f t="shared" si="1"/>
        <v>-27292.929999999993</v>
      </c>
      <c r="AC10" s="102">
        <f t="shared" si="1"/>
        <v>9463.640000000014</v>
      </c>
      <c r="AD10" s="102">
        <f t="shared" si="1"/>
        <v>15521.962000000058</v>
      </c>
      <c r="AE10" s="102">
        <f t="shared" si="1"/>
        <v>120855.48999999999</v>
      </c>
      <c r="AF10" s="102">
        <f t="shared" si="1"/>
        <v>157003.47999999998</v>
      </c>
      <c r="AG10" s="102">
        <f t="shared" si="1"/>
        <v>230618.57</v>
      </c>
      <c r="AH10" s="102">
        <f t="shared" si="1"/>
        <v>170727.00999999995</v>
      </c>
      <c r="AI10" s="102">
        <f t="shared" si="1"/>
        <v>117050</v>
      </c>
    </row>
    <row r="11" spans="1:35">
      <c r="B11" s="49"/>
      <c r="C11" s="50"/>
      <c r="D11" s="51"/>
      <c r="E11" s="49"/>
      <c r="F11" s="50"/>
      <c r="G11" s="51"/>
      <c r="H11" s="49"/>
      <c r="I11" s="50"/>
      <c r="J11" s="51"/>
      <c r="K11" s="49"/>
      <c r="L11" s="50"/>
      <c r="M11" s="51"/>
      <c r="N11" s="49"/>
      <c r="O11" s="50"/>
      <c r="P11" s="51"/>
      <c r="Q11" s="50"/>
      <c r="R11" s="50"/>
      <c r="S11" s="92"/>
      <c r="T11" s="48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</row>
    <row r="12" spans="1:35">
      <c r="A12" s="4" t="s">
        <v>173</v>
      </c>
      <c r="B12" s="11"/>
      <c r="C12" s="50"/>
      <c r="D12" s="51"/>
      <c r="E12" s="49"/>
      <c r="F12" s="50"/>
      <c r="G12" s="51"/>
      <c r="H12" s="49"/>
      <c r="I12" s="50"/>
      <c r="J12" s="51"/>
      <c r="K12" s="49"/>
      <c r="L12" s="50"/>
      <c r="M12" s="51"/>
      <c r="N12" s="49"/>
      <c r="O12" s="50"/>
      <c r="P12" s="51"/>
      <c r="Q12" s="81"/>
      <c r="R12" s="50"/>
      <c r="S12" s="92"/>
      <c r="T12" s="48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</row>
    <row r="13" spans="1:35">
      <c r="B13" s="11"/>
      <c r="C13" s="50"/>
      <c r="D13" s="51"/>
      <c r="E13" s="49"/>
      <c r="F13" s="50"/>
      <c r="G13" s="51"/>
      <c r="H13" s="49"/>
      <c r="I13" s="50"/>
      <c r="J13" s="51"/>
      <c r="K13" s="49"/>
      <c r="L13" s="50"/>
      <c r="M13" s="51"/>
      <c r="N13" s="49"/>
      <c r="O13" s="50"/>
      <c r="P13" s="51"/>
      <c r="Q13" s="50"/>
      <c r="R13" s="50"/>
      <c r="S13" s="92"/>
      <c r="T13" s="48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</row>
    <row r="14" spans="1:35">
      <c r="A14" s="73"/>
      <c r="B14" s="11"/>
      <c r="C14" s="40"/>
      <c r="D14" s="44"/>
      <c r="E14" s="11"/>
      <c r="F14" s="40"/>
      <c r="G14" s="44"/>
      <c r="H14" s="11"/>
      <c r="I14" s="40"/>
      <c r="J14" s="44"/>
      <c r="K14" s="11"/>
      <c r="L14" s="40"/>
      <c r="M14" s="44"/>
      <c r="N14" s="11"/>
      <c r="O14" s="40"/>
      <c r="P14" s="44"/>
      <c r="Q14" s="50"/>
      <c r="R14" s="50"/>
      <c r="S14" s="92"/>
      <c r="T14" s="52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</row>
    <row r="15" spans="1:35">
      <c r="A15" s="37" t="s">
        <v>118</v>
      </c>
      <c r="B15" s="49">
        <f>'[2]Equip Aux'!B15:B15</f>
        <v>70796</v>
      </c>
      <c r="C15" s="50">
        <f>'[2]Equip Aux'!C15:C15</f>
        <v>70796</v>
      </c>
      <c r="D15" s="51">
        <f>'[2]Equip Aux'!D15:D15</f>
        <v>71006</v>
      </c>
      <c r="E15" s="49">
        <f>'[2]Equip Aux'!E15:E15</f>
        <v>70796</v>
      </c>
      <c r="F15" s="50">
        <f>'[2]Equip Aux'!F15:F15</f>
        <v>70796</v>
      </c>
      <c r="G15" s="51">
        <f>'[2]Equip Aux'!G15:G15</f>
        <v>65197</v>
      </c>
      <c r="H15" s="49">
        <f>'[2]Equip Aux'!H15:H15</f>
        <v>70796</v>
      </c>
      <c r="I15" s="50">
        <f>'[2]Equip Aux'!I15:I15</f>
        <v>70796</v>
      </c>
      <c r="J15" s="51">
        <f>'[2]Equip Aux'!J15:J15</f>
        <v>46989.630300000004</v>
      </c>
      <c r="K15" s="49">
        <f>'[2]Equip Aux'!K15:K15</f>
        <v>70796</v>
      </c>
      <c r="L15" s="50">
        <f>'[2]Equip Aux'!L15:L15</f>
        <v>70796</v>
      </c>
      <c r="M15" s="51">
        <f>'[2]Equip Aux'!M15:M15</f>
        <v>65146.626000000011</v>
      </c>
      <c r="N15" s="49">
        <f>'[2]Equip Aux'!N15:N15</f>
        <v>70796</v>
      </c>
      <c r="O15" s="50">
        <f>'[2]Equip Aux'!O15:O15</f>
        <v>70796</v>
      </c>
      <c r="P15" s="51">
        <f>'[2]Equip Aux'!P15:P15</f>
        <v>76232.536000000007</v>
      </c>
      <c r="Q15" s="49">
        <f>N15+K15+H15+E15</f>
        <v>283184</v>
      </c>
      <c r="R15" s="50">
        <f>O15+L15+I15+F15</f>
        <v>283184</v>
      </c>
      <c r="S15" s="92">
        <f>P15+M15+J15+G15</f>
        <v>253565.79230000003</v>
      </c>
      <c r="T15" s="48"/>
      <c r="U15" s="49">
        <f>'[2]Equip Aux'!U15:U15</f>
        <v>41350.500000000007</v>
      </c>
      <c r="V15" s="49">
        <f>'[2]Equip Aux'!V15:V15</f>
        <v>21306.300000000003</v>
      </c>
      <c r="W15" s="49">
        <f>'[2]Equip Aux'!W15:W15</f>
        <v>4219.6740000000009</v>
      </c>
      <c r="X15" s="49">
        <f>'[2]Equip Aux'!X15:X15</f>
        <v>21435.969000000001</v>
      </c>
      <c r="Y15" s="49">
        <f>'[2]Equip Aux'!Y15:Y15</f>
        <v>18865.710000000003</v>
      </c>
      <c r="Z15" s="49">
        <f>'[2]Equip Aux'!Z15:Z15</f>
        <v>17224.707000000002</v>
      </c>
      <c r="AA15" s="49">
        <f>'[2]Equip Aux'!AA15:AA15</f>
        <v>12382.818299999999</v>
      </c>
      <c r="AB15" s="49">
        <f>'[2]Equip Aux'!AB15:AB15</f>
        <v>11760.927</v>
      </c>
      <c r="AC15" s="49">
        <f>'[2]Equip Aux'!AC15:AC15</f>
        <v>21362.174999999999</v>
      </c>
      <c r="AD15" s="49">
        <f>'[2]Equip Aux'!AD15:AD15</f>
        <v>17040.915000000001</v>
      </c>
      <c r="AE15" s="49">
        <f>'[2]Equip Aux'!AE15:AE15</f>
        <v>24963.288000000004</v>
      </c>
      <c r="AF15" s="49">
        <f>'[2]Equip Aux'!AF15:AF15</f>
        <v>21040.923000000003</v>
      </c>
      <c r="AG15" s="49">
        <f>'[2]Equip Aux'!AG15:AG15</f>
        <v>32016.638999999999</v>
      </c>
      <c r="AH15" s="49">
        <f>'[2]Equip Aux'!AH15:AH15</f>
        <v>21813.414000000004</v>
      </c>
      <c r="AI15" s="140">
        <f>'[2]Equip Aux'!AI15:AI15</f>
        <v>19943.373</v>
      </c>
    </row>
    <row r="16" spans="1:35">
      <c r="A16" s="73"/>
      <c r="B16" s="11"/>
      <c r="C16" s="40"/>
      <c r="D16" s="44"/>
      <c r="E16" s="11"/>
      <c r="F16" s="40"/>
      <c r="G16" s="44"/>
      <c r="H16" s="11"/>
      <c r="I16" s="40"/>
      <c r="J16" s="44"/>
      <c r="K16" s="11"/>
      <c r="L16" s="40"/>
      <c r="M16" s="44"/>
      <c r="N16" s="11"/>
      <c r="O16" s="40"/>
      <c r="P16" s="44"/>
      <c r="Q16" s="49"/>
      <c r="R16" s="50"/>
      <c r="S16" s="92"/>
      <c r="T16" s="52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</row>
    <row r="17" spans="1:35">
      <c r="A17" s="37" t="s">
        <v>119</v>
      </c>
      <c r="B17" s="49">
        <f>'[2]Equip Aux'!B17:B17</f>
        <v>29300</v>
      </c>
      <c r="C17" s="50">
        <f>'[2]Equip Aux'!C17:C17</f>
        <v>29300</v>
      </c>
      <c r="D17" s="51">
        <f>'[2]Equip Aux'!D17:D17</f>
        <v>29386</v>
      </c>
      <c r="E17" s="49">
        <f>'[2]Equip Aux'!E17:E17</f>
        <v>29300</v>
      </c>
      <c r="F17" s="50">
        <f>'[2]Equip Aux'!F17:F17</f>
        <v>29300</v>
      </c>
      <c r="G17" s="51">
        <f>'[2]Equip Aux'!G17:G17</f>
        <v>22331</v>
      </c>
      <c r="H17" s="49">
        <f>'[2]Equip Aux'!H17:H17</f>
        <v>29300</v>
      </c>
      <c r="I17" s="50">
        <f>'[2]Equip Aux'!I17:I17</f>
        <v>29300</v>
      </c>
      <c r="J17" s="51">
        <f>'[2]Equip Aux'!J17:J17</f>
        <v>22069.366000000002</v>
      </c>
      <c r="K17" s="49">
        <f>'[2]Equip Aux'!K17:K17</f>
        <v>29300</v>
      </c>
      <c r="L17" s="50">
        <f>'[2]Equip Aux'!L17:L17</f>
        <v>29300</v>
      </c>
      <c r="M17" s="51">
        <f>'[2]Equip Aux'!M17:M17</f>
        <v>22950.300000000003</v>
      </c>
      <c r="N17" s="49">
        <f>'[2]Equip Aux'!N17:N17</f>
        <v>29300</v>
      </c>
      <c r="O17" s="50">
        <f>'[2]Equip Aux'!O17:O17</f>
        <v>29300</v>
      </c>
      <c r="P17" s="51">
        <f>'[2]Equip Aux'!P17:P17</f>
        <v>21704.647000000004</v>
      </c>
      <c r="Q17" s="49">
        <f>N17+K17+H17+E17</f>
        <v>117200</v>
      </c>
      <c r="R17" s="50">
        <f>O17+L17+I17+F17</f>
        <v>117200</v>
      </c>
      <c r="S17" s="92">
        <f>P17+M17+J17+G17</f>
        <v>89055.313000000009</v>
      </c>
      <c r="T17" s="48"/>
      <c r="U17" s="49">
        <f>'[2]Equip Aux'!U17:U17</f>
        <v>7582.23</v>
      </c>
      <c r="V17" s="49">
        <f>'[2]Equip Aux'!V17:V17</f>
        <v>7457.0250000000005</v>
      </c>
      <c r="W17" s="49">
        <f>'[2]Equip Aux'!W17:W17</f>
        <v>5284.179000000001</v>
      </c>
      <c r="X17" s="49">
        <f>'[2]Equip Aux'!X17:X17</f>
        <v>7262.6880000000001</v>
      </c>
      <c r="Y17" s="49">
        <f>'[2]Equip Aux'!Y17:Y17</f>
        <v>5975.1</v>
      </c>
      <c r="Z17" s="49">
        <f>'[2]Equip Aux'!Z17:Z17</f>
        <v>6465.9000000000005</v>
      </c>
      <c r="AA17" s="49">
        <f>'[2]Equip Aux'!AA17:AA17</f>
        <v>6972.9000000000005</v>
      </c>
      <c r="AB17" s="49">
        <f>'[2]Equip Aux'!AB17:AB17</f>
        <v>7138.4759999999997</v>
      </c>
      <c r="AC17" s="49">
        <f>'[2]Equip Aux'!AC17:AC17</f>
        <v>7504.2000000000007</v>
      </c>
      <c r="AD17" s="49">
        <f>'[2]Equip Aux'!AD17:AD17</f>
        <v>7384.1009999999997</v>
      </c>
      <c r="AE17" s="49">
        <f>'[2]Equip Aux'!AE17:AE17</f>
        <v>7890.6</v>
      </c>
      <c r="AF17" s="49">
        <f>'[2]Equip Aux'!AF17:AF17</f>
        <v>7478.7390000000014</v>
      </c>
      <c r="AG17" s="49">
        <f>'[2]Equip Aux'!AG17:AG17</f>
        <v>8072.8380000000006</v>
      </c>
      <c r="AH17" s="49">
        <f>'[2]Equip Aux'!AH17:AH17</f>
        <v>8485.527</v>
      </c>
      <c r="AI17" s="140">
        <f>'[2]Equip Aux'!AI17:AI17</f>
        <v>4446.1320000000005</v>
      </c>
    </row>
    <row r="18" spans="1:35">
      <c r="A18" s="73"/>
      <c r="B18" s="11"/>
      <c r="C18" s="40"/>
      <c r="D18" s="44"/>
      <c r="E18" s="11"/>
      <c r="F18" s="40"/>
      <c r="G18" s="44"/>
      <c r="H18" s="11"/>
      <c r="I18" s="40"/>
      <c r="J18" s="44"/>
      <c r="K18" s="11"/>
      <c r="L18" s="40"/>
      <c r="M18" s="44"/>
      <c r="N18" s="11"/>
      <c r="O18" s="40"/>
      <c r="P18" s="44"/>
      <c r="Q18" s="49"/>
      <c r="R18" s="50"/>
      <c r="S18" s="92"/>
      <c r="T18" s="52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</row>
    <row r="19" spans="1:35">
      <c r="A19" s="43" t="s">
        <v>120</v>
      </c>
      <c r="B19" s="55">
        <f>'[2]Equip Aux'!B19:B19</f>
        <v>20400</v>
      </c>
      <c r="C19" s="56">
        <f>'[2]Equip Aux'!C19:C19</f>
        <v>20400</v>
      </c>
      <c r="D19" s="57">
        <f>'[2]Equip Aux'!D19:D19</f>
        <v>20460</v>
      </c>
      <c r="E19" s="55">
        <f>'[2]Equip Aux'!E19:E19</f>
        <v>20400</v>
      </c>
      <c r="F19" s="56">
        <f>'[2]Equip Aux'!F19:F19</f>
        <v>20400</v>
      </c>
      <c r="G19" s="57">
        <f>'[2]Equip Aux'!G19:G19</f>
        <v>16635</v>
      </c>
      <c r="H19" s="55">
        <f>'[2]Equip Aux'!H19:H19</f>
        <v>20400</v>
      </c>
      <c r="I19" s="56">
        <f>'[2]Equip Aux'!I19:I19</f>
        <v>20400</v>
      </c>
      <c r="J19" s="57">
        <f>'[2]Equip Aux'!J19:J19</f>
        <v>14067.214800000002</v>
      </c>
      <c r="K19" s="55">
        <f>'[2]Equip Aux'!K19:K19</f>
        <v>20400</v>
      </c>
      <c r="L19" s="56">
        <f>'[2]Equip Aux'!L19:L19</f>
        <v>20400</v>
      </c>
      <c r="M19" s="57">
        <f>'[2]Equip Aux'!M19:M19</f>
        <v>6102.72</v>
      </c>
      <c r="N19" s="55">
        <f>'[2]Equip Aux'!N19:N19</f>
        <v>20400</v>
      </c>
      <c r="O19" s="56">
        <f>'[2]Equip Aux'!O19:O19</f>
        <v>20400</v>
      </c>
      <c r="P19" s="57">
        <f>'[2]Equip Aux'!P19:P19</f>
        <v>12711.787999999999</v>
      </c>
      <c r="Q19" s="55">
        <f t="shared" ref="Q19:S20" si="2">N19+K19+H19+E19</f>
        <v>81600</v>
      </c>
      <c r="R19" s="56">
        <f t="shared" si="2"/>
        <v>81600</v>
      </c>
      <c r="S19" s="93">
        <f t="shared" si="2"/>
        <v>49516.722800000003</v>
      </c>
      <c r="T19" s="48"/>
      <c r="U19" s="49">
        <f>'[2]Equip Aux'!U19:U19</f>
        <v>9882.384</v>
      </c>
      <c r="V19" s="49">
        <f>'[2]Equip Aux'!V19:V19</f>
        <v>9137.6219999999994</v>
      </c>
      <c r="W19" s="49">
        <f>'[2]Equip Aux'!W19:W19</f>
        <v>7216.4400000000005</v>
      </c>
      <c r="X19" s="49">
        <f>'[2]Equip Aux'!X19:X19</f>
        <v>4552.9709999999995</v>
      </c>
      <c r="Y19" s="63">
        <f>'[2]Equip Aux'!Y19:Y19</f>
        <v>8320.9140000000007</v>
      </c>
      <c r="Z19" s="49">
        <f>'[2]Equip Aux'!Z19:Z19</f>
        <v>1443.309</v>
      </c>
      <c r="AA19" s="49">
        <f>'[2]Equip Aux'!AA19:AA19</f>
        <v>5468.9078</v>
      </c>
      <c r="AB19" s="49">
        <f>'[2]Equip Aux'!AB19:AB19</f>
        <v>4871.9070000000002</v>
      </c>
      <c r="AC19" s="49">
        <f>'[2]Equip Aux'!AC19:AC19</f>
        <v>3272.6100000000006</v>
      </c>
      <c r="AD19" s="49">
        <f>'[2]Equip Aux'!AD19:AD19</f>
        <v>1693.6020000000003</v>
      </c>
      <c r="AE19" s="49">
        <f>'[2]Equip Aux'!AE19:AE19</f>
        <v>2248.1489999999999</v>
      </c>
      <c r="AF19" s="49">
        <f>'[2]Equip Aux'!AF19:AF19</f>
        <v>1964.1090000000002</v>
      </c>
      <c r="AG19" s="49">
        <f>'[2]Equip Aux'!AG19:AG19</f>
        <v>4775.0280000000002</v>
      </c>
      <c r="AH19" s="49">
        <f>'[2]Equip Aux'!AH19:AH19</f>
        <v>2879.1</v>
      </c>
      <c r="AI19" s="140">
        <f>'[2]Equip Aux'!AI19:AI19</f>
        <v>4647.6000000000004</v>
      </c>
    </row>
    <row r="20" spans="1:35">
      <c r="A20" s="43" t="s">
        <v>187</v>
      </c>
      <c r="B20" s="55">
        <f>B19+B17+B15</f>
        <v>120496</v>
      </c>
      <c r="C20" s="55">
        <f t="shared" ref="C20:P20" si="3">C19+C17+C15</f>
        <v>120496</v>
      </c>
      <c r="D20" s="55">
        <f t="shared" si="3"/>
        <v>120852</v>
      </c>
      <c r="E20" s="55">
        <f t="shared" si="3"/>
        <v>120496</v>
      </c>
      <c r="F20" s="55">
        <f t="shared" si="3"/>
        <v>120496</v>
      </c>
      <c r="G20" s="55">
        <f t="shared" si="3"/>
        <v>104163</v>
      </c>
      <c r="H20" s="55">
        <f t="shared" si="3"/>
        <v>120496</v>
      </c>
      <c r="I20" s="55">
        <f t="shared" si="3"/>
        <v>120496</v>
      </c>
      <c r="J20" s="55">
        <f t="shared" si="3"/>
        <v>83126.211100000015</v>
      </c>
      <c r="K20" s="55">
        <f t="shared" si="3"/>
        <v>120496</v>
      </c>
      <c r="L20" s="55">
        <f t="shared" si="3"/>
        <v>120496</v>
      </c>
      <c r="M20" s="55">
        <f t="shared" si="3"/>
        <v>94199.646000000008</v>
      </c>
      <c r="N20" s="55">
        <f t="shared" si="3"/>
        <v>120496</v>
      </c>
      <c r="O20" s="55">
        <f t="shared" si="3"/>
        <v>120496</v>
      </c>
      <c r="P20" s="55">
        <f t="shared" si="3"/>
        <v>110648.97100000002</v>
      </c>
      <c r="Q20" s="55">
        <f t="shared" si="2"/>
        <v>481984</v>
      </c>
      <c r="R20" s="55">
        <f t="shared" si="2"/>
        <v>481984</v>
      </c>
      <c r="S20" s="319">
        <f t="shared" si="2"/>
        <v>392137.82810000004</v>
      </c>
      <c r="T20" s="48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</row>
    <row r="21" spans="1:35">
      <c r="A21" s="43"/>
      <c r="B21" s="49"/>
      <c r="C21" s="50"/>
      <c r="D21" s="51"/>
      <c r="E21" s="49"/>
      <c r="F21" s="50"/>
      <c r="G21" s="51"/>
      <c r="H21" s="49"/>
      <c r="I21" s="50"/>
      <c r="J21" s="51"/>
      <c r="K21" s="49"/>
      <c r="L21" s="50"/>
      <c r="M21" s="51"/>
      <c r="N21" s="49"/>
      <c r="O21" s="50"/>
      <c r="P21" s="51"/>
      <c r="Q21" s="49"/>
      <c r="R21" s="50"/>
      <c r="S21" s="51"/>
      <c r="T21" s="48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</row>
    <row r="22" spans="1:35" ht="14" thickBot="1">
      <c r="A22" s="34" t="s">
        <v>175</v>
      </c>
      <c r="B22" s="55">
        <f>B10-B20</f>
        <v>128135</v>
      </c>
      <c r="C22" s="56">
        <f t="shared" ref="C22:P22" si="4">C10-C20</f>
        <v>283135</v>
      </c>
      <c r="D22" s="57">
        <f t="shared" si="4"/>
        <v>127194.83199999994</v>
      </c>
      <c r="E22" s="55">
        <f t="shared" si="4"/>
        <v>127395</v>
      </c>
      <c r="F22" s="56">
        <f t="shared" si="4"/>
        <v>266855</v>
      </c>
      <c r="G22" s="57">
        <f t="shared" si="4"/>
        <v>54277</v>
      </c>
      <c r="H22" s="55">
        <f t="shared" si="4"/>
        <v>340195</v>
      </c>
      <c r="I22" s="56">
        <f t="shared" si="4"/>
        <v>434855</v>
      </c>
      <c r="J22" s="57">
        <f t="shared" si="4"/>
        <v>-53022.701100000006</v>
      </c>
      <c r="K22" s="55">
        <f t="shared" si="4"/>
        <v>372195</v>
      </c>
      <c r="L22" s="56">
        <f t="shared" si="4"/>
        <v>476855</v>
      </c>
      <c r="M22" s="57">
        <f t="shared" si="4"/>
        <v>219426.79600000003</v>
      </c>
      <c r="N22" s="55">
        <f t="shared" si="4"/>
        <v>382195</v>
      </c>
      <c r="O22" s="56">
        <f t="shared" si="4"/>
        <v>552855</v>
      </c>
      <c r="P22" s="57">
        <f t="shared" si="4"/>
        <v>413502.19899999967</v>
      </c>
      <c r="Q22" s="55">
        <f>N22+K22+H22+E22</f>
        <v>1221980</v>
      </c>
      <c r="R22" s="56">
        <f>O22+L22+I22+F22</f>
        <v>1731420</v>
      </c>
      <c r="S22" s="57">
        <f>P22+M22+J22+G22</f>
        <v>634183.2938999997</v>
      </c>
      <c r="T22" s="56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</row>
    <row r="23" spans="1:35" ht="14" thickBot="1">
      <c r="B23" s="11"/>
      <c r="C23" s="50"/>
      <c r="D23" s="51"/>
      <c r="E23" s="49"/>
      <c r="F23" s="50"/>
      <c r="G23" s="51"/>
      <c r="H23" s="49"/>
      <c r="I23" s="50"/>
      <c r="J23" s="51"/>
      <c r="K23" s="49"/>
      <c r="L23" s="50"/>
      <c r="M23" s="51"/>
      <c r="N23" s="49"/>
      <c r="O23" s="50"/>
      <c r="P23" s="51"/>
      <c r="Q23" s="49"/>
      <c r="R23" s="50"/>
      <c r="S23" s="51"/>
      <c r="T23" s="48"/>
      <c r="U23" s="105">
        <f>U10-U15-U17-U19</f>
        <v>91887.56600000005</v>
      </c>
      <c r="V23" s="105">
        <f t="shared" ref="V23:AI23" si="5">V10-V15-V17-V19</f>
        <v>15093.757000000023</v>
      </c>
      <c r="W23" s="105">
        <f t="shared" si="5"/>
        <v>27629.15499999997</v>
      </c>
      <c r="X23" s="105">
        <f t="shared" si="5"/>
        <v>46998.772000000026</v>
      </c>
      <c r="Y23" s="105">
        <f t="shared" si="5"/>
        <v>6750.2759999999962</v>
      </c>
      <c r="Z23" s="105">
        <f t="shared" si="5"/>
        <v>13143.683999999974</v>
      </c>
      <c r="AA23" s="105">
        <f t="shared" si="5"/>
        <v>23108.173899999987</v>
      </c>
      <c r="AB23" s="105">
        <f t="shared" si="5"/>
        <v>-51064.239999999991</v>
      </c>
      <c r="AC23" s="105">
        <f t="shared" si="5"/>
        <v>-22675.344999999987</v>
      </c>
      <c r="AD23" s="105">
        <f t="shared" si="5"/>
        <v>-10596.655999999943</v>
      </c>
      <c r="AE23" s="105">
        <f t="shared" si="5"/>
        <v>85753.45299999998</v>
      </c>
      <c r="AF23" s="105">
        <f t="shared" si="5"/>
        <v>126519.70899999997</v>
      </c>
      <c r="AG23" s="105">
        <f t="shared" si="5"/>
        <v>185754.06500000003</v>
      </c>
      <c r="AH23" s="105">
        <f t="shared" si="5"/>
        <v>137548.96899999995</v>
      </c>
      <c r="AI23" s="105">
        <f t="shared" si="5"/>
        <v>88012.895000000004</v>
      </c>
    </row>
    <row r="24" spans="1:35">
      <c r="B24" s="11"/>
      <c r="C24" s="40"/>
      <c r="D24" s="44"/>
      <c r="E24" s="11"/>
      <c r="F24" s="40"/>
      <c r="G24" s="44"/>
      <c r="H24" s="11"/>
      <c r="I24" s="40"/>
      <c r="J24" s="44"/>
      <c r="K24" s="11"/>
      <c r="L24" s="40"/>
      <c r="M24" s="44"/>
      <c r="N24" s="11"/>
      <c r="O24" s="40"/>
      <c r="P24" s="44"/>
      <c r="Q24" s="11"/>
      <c r="R24" s="40"/>
      <c r="S24" s="44"/>
      <c r="T24" s="52"/>
    </row>
    <row r="25" spans="1:35">
      <c r="A25" t="s">
        <v>176</v>
      </c>
      <c r="B25" s="49"/>
      <c r="C25" s="50"/>
      <c r="D25" s="51"/>
      <c r="E25" s="49"/>
      <c r="F25" s="50"/>
      <c r="G25" s="51"/>
      <c r="H25" s="49"/>
      <c r="I25" s="50"/>
      <c r="J25" s="51"/>
      <c r="K25" s="49"/>
      <c r="L25" s="50"/>
      <c r="M25" s="51"/>
      <c r="N25" s="49"/>
      <c r="O25" s="50"/>
      <c r="P25" s="51"/>
      <c r="Q25" s="82"/>
      <c r="R25" s="50"/>
      <c r="S25" s="92"/>
      <c r="T25" s="48"/>
    </row>
    <row r="26" spans="1:35" ht="26">
      <c r="A26" s="45" t="s">
        <v>132</v>
      </c>
      <c r="B26" s="8"/>
      <c r="C26" s="31"/>
      <c r="D26" s="10"/>
      <c r="E26" s="8"/>
      <c r="F26" s="9"/>
      <c r="G26" s="10"/>
      <c r="H26" s="8"/>
      <c r="I26" s="9"/>
      <c r="J26" s="10"/>
      <c r="K26" s="8"/>
      <c r="L26" s="9"/>
      <c r="M26" s="10"/>
      <c r="N26" s="8"/>
      <c r="O26" s="9"/>
      <c r="P26" s="10"/>
      <c r="Q26" s="46"/>
      <c r="R26" s="9"/>
      <c r="S26" s="91"/>
    </row>
    <row r="27" spans="1:35">
      <c r="A27" s="45"/>
      <c r="B27" s="8"/>
      <c r="C27" s="31"/>
      <c r="D27" s="10"/>
      <c r="E27" s="8"/>
      <c r="F27" s="9"/>
      <c r="G27" s="10"/>
      <c r="H27" s="8"/>
      <c r="I27" s="9"/>
      <c r="J27" s="10"/>
      <c r="K27" s="8"/>
      <c r="L27" s="9"/>
      <c r="M27" s="10"/>
      <c r="N27" s="8"/>
      <c r="O27" s="9"/>
      <c r="P27" s="10"/>
      <c r="Q27" s="46"/>
      <c r="R27" s="9"/>
      <c r="S27" s="91"/>
    </row>
    <row r="28" spans="1:35">
      <c r="A28" s="5"/>
      <c r="B28" s="8"/>
      <c r="C28" s="31"/>
      <c r="D28" s="10"/>
      <c r="E28" s="8"/>
      <c r="F28" s="9"/>
      <c r="G28" s="10"/>
      <c r="H28" s="8"/>
      <c r="I28" s="9"/>
      <c r="J28" s="10"/>
      <c r="K28" s="8"/>
      <c r="L28" s="9"/>
      <c r="M28" s="10"/>
      <c r="N28" s="8"/>
      <c r="O28" s="9"/>
      <c r="P28" s="10"/>
      <c r="Q28" s="46"/>
      <c r="R28" s="9"/>
      <c r="S28" s="91"/>
    </row>
    <row r="29" spans="1:35" ht="52">
      <c r="A29" s="5" t="s">
        <v>140</v>
      </c>
      <c r="B29" s="11"/>
      <c r="C29" s="31"/>
      <c r="D29" s="10"/>
      <c r="E29" s="11"/>
      <c r="F29" s="9"/>
      <c r="G29" s="10"/>
      <c r="H29" s="11"/>
      <c r="I29" s="9"/>
      <c r="J29" s="10"/>
      <c r="K29" s="11"/>
      <c r="L29" s="9"/>
      <c r="M29" s="10"/>
      <c r="N29" s="11"/>
      <c r="O29" s="9"/>
      <c r="P29" s="10"/>
      <c r="Q29" s="82"/>
      <c r="R29" s="50"/>
      <c r="S29" s="92"/>
    </row>
    <row r="30" spans="1:35">
      <c r="A30" s="5"/>
      <c r="B30" s="8"/>
      <c r="C30" s="31"/>
      <c r="D30" s="10"/>
      <c r="E30" s="8"/>
      <c r="F30" s="9"/>
      <c r="G30" s="10"/>
      <c r="H30" s="8"/>
      <c r="I30" s="9"/>
      <c r="J30" s="10"/>
      <c r="K30" s="8"/>
      <c r="L30" s="9"/>
      <c r="M30" s="10"/>
      <c r="N30" s="8"/>
      <c r="O30" s="9"/>
      <c r="P30" s="10"/>
      <c r="Q30" s="46"/>
      <c r="R30" s="9"/>
      <c r="S30" s="91"/>
    </row>
    <row r="31" spans="1:35" ht="26">
      <c r="A31" s="5" t="s">
        <v>141</v>
      </c>
      <c r="B31" s="6"/>
      <c r="C31" s="32"/>
      <c r="D31" s="7"/>
      <c r="E31" s="6"/>
      <c r="F31" s="1"/>
      <c r="G31" s="7"/>
      <c r="H31" s="6"/>
      <c r="I31" s="1"/>
      <c r="J31" s="7"/>
      <c r="K31" s="6"/>
      <c r="L31" s="1"/>
      <c r="M31" s="7"/>
      <c r="N31" s="6"/>
      <c r="O31" s="1"/>
      <c r="P31" s="7"/>
      <c r="Q31" s="46"/>
      <c r="R31" s="9"/>
      <c r="S31" s="91"/>
    </row>
    <row r="32" spans="1:35">
      <c r="A32" s="5" t="s">
        <v>142</v>
      </c>
      <c r="B32" s="8"/>
      <c r="C32" s="31"/>
      <c r="D32" s="10"/>
      <c r="E32" s="8"/>
      <c r="F32" s="9"/>
      <c r="G32" s="10"/>
      <c r="H32" s="8"/>
      <c r="I32" s="9"/>
      <c r="J32" s="10"/>
      <c r="K32" s="8"/>
      <c r="L32" s="9"/>
      <c r="M32" s="10"/>
      <c r="N32" s="8"/>
      <c r="O32" s="9"/>
      <c r="P32" s="10"/>
      <c r="Q32" s="46"/>
      <c r="R32" s="9"/>
      <c r="S32" s="91"/>
    </row>
    <row r="33" spans="1:19">
      <c r="A33" s="5"/>
      <c r="B33" s="8"/>
      <c r="C33" s="31"/>
      <c r="D33" s="10"/>
      <c r="E33" s="8"/>
      <c r="F33" s="9"/>
      <c r="G33" s="10"/>
      <c r="H33" s="8"/>
      <c r="I33" s="9"/>
      <c r="J33" s="10"/>
      <c r="K33" s="8"/>
      <c r="L33" s="9"/>
      <c r="M33" s="10"/>
      <c r="N33" s="8"/>
      <c r="O33" s="9"/>
      <c r="P33" s="10"/>
      <c r="Q33" s="46"/>
      <c r="R33" s="9"/>
      <c r="S33" s="91"/>
    </row>
    <row r="34" spans="1:19" ht="26">
      <c r="A34" s="24" t="s">
        <v>144</v>
      </c>
      <c r="B34" s="8"/>
      <c r="C34" s="31"/>
      <c r="D34" s="10"/>
      <c r="E34" s="8"/>
      <c r="F34" s="9"/>
      <c r="G34" s="10"/>
      <c r="H34" s="8"/>
      <c r="I34" s="9"/>
      <c r="J34" s="10"/>
      <c r="K34" s="8"/>
      <c r="L34" s="9"/>
      <c r="M34" s="10"/>
      <c r="N34" s="8"/>
      <c r="O34" s="9"/>
      <c r="P34" s="10"/>
      <c r="Q34" s="46"/>
      <c r="R34" s="9"/>
      <c r="S34" s="91"/>
    </row>
    <row r="35" spans="1:19">
      <c r="A35" s="5"/>
      <c r="B35" s="8"/>
      <c r="C35" s="31"/>
      <c r="D35" s="10"/>
      <c r="E35" s="8"/>
      <c r="F35" s="9"/>
      <c r="G35" s="10"/>
      <c r="H35" s="8"/>
      <c r="I35" s="9"/>
      <c r="J35" s="10"/>
      <c r="K35" s="8"/>
      <c r="L35" s="9"/>
      <c r="M35" s="10"/>
      <c r="N35" s="8"/>
      <c r="O35" s="9"/>
      <c r="P35" s="10"/>
      <c r="Q35" s="46"/>
      <c r="R35" s="9"/>
      <c r="S35" s="87"/>
    </row>
    <row r="36" spans="1:19">
      <c r="A36" s="25" t="s">
        <v>179</v>
      </c>
      <c r="B36" s="8"/>
      <c r="C36" s="31"/>
      <c r="D36" s="10"/>
      <c r="E36" s="8"/>
      <c r="F36" s="9"/>
      <c r="G36" s="10"/>
      <c r="H36" s="8"/>
      <c r="I36" s="9"/>
      <c r="J36" s="10"/>
      <c r="K36" s="8"/>
      <c r="L36" s="9"/>
      <c r="M36" s="10"/>
      <c r="N36" s="8"/>
      <c r="O36" s="9"/>
      <c r="P36" s="10"/>
      <c r="Q36" s="46"/>
      <c r="R36" s="9"/>
      <c r="S36" s="87"/>
    </row>
    <row r="37" spans="1:19">
      <c r="A37" s="5" t="s">
        <v>156</v>
      </c>
      <c r="B37" s="26">
        <f>'[2]Equip Aux'!B36</f>
        <v>1</v>
      </c>
      <c r="C37" s="31"/>
      <c r="D37" s="10"/>
      <c r="E37" s="8"/>
      <c r="F37" s="9"/>
      <c r="G37" s="10"/>
      <c r="H37" s="8"/>
      <c r="I37" s="9"/>
      <c r="J37" s="10"/>
      <c r="K37" s="8"/>
      <c r="L37" s="9"/>
      <c r="M37" s="10"/>
      <c r="N37" s="8"/>
      <c r="O37" s="9"/>
      <c r="P37" s="10"/>
      <c r="Q37" s="46"/>
      <c r="R37" s="9"/>
      <c r="S37" s="87"/>
    </row>
    <row r="38" spans="1:19">
      <c r="A38" s="5" t="s">
        <v>157</v>
      </c>
      <c r="B38" s="26">
        <f>'[2]Equip Aux'!B37</f>
        <v>1</v>
      </c>
      <c r="C38" s="31"/>
      <c r="D38" s="10"/>
      <c r="E38" s="8"/>
      <c r="F38" s="9"/>
      <c r="G38" s="10"/>
      <c r="H38" s="8"/>
      <c r="I38" s="9"/>
      <c r="J38" s="10"/>
      <c r="K38" s="8"/>
      <c r="L38" s="9"/>
      <c r="M38" s="10"/>
      <c r="N38" s="8"/>
      <c r="O38" s="9"/>
      <c r="P38" s="10"/>
      <c r="Q38" s="46"/>
      <c r="R38" s="9"/>
      <c r="S38" s="87"/>
    </row>
    <row r="39" spans="1:19">
      <c r="A39" s="5" t="s">
        <v>158</v>
      </c>
      <c r="B39" s="26">
        <f>'[2]Equip Aux'!B38</f>
        <v>3</v>
      </c>
      <c r="C39" s="31"/>
      <c r="D39" s="10"/>
      <c r="E39" s="8"/>
      <c r="F39" s="9"/>
      <c r="G39" s="10"/>
      <c r="H39" s="8"/>
      <c r="I39" s="9"/>
      <c r="J39" s="10"/>
      <c r="K39" s="8"/>
      <c r="L39" s="9"/>
      <c r="M39" s="10"/>
      <c r="N39" s="8"/>
      <c r="O39" s="9"/>
      <c r="P39" s="10"/>
      <c r="Q39" s="46"/>
      <c r="R39" s="9"/>
      <c r="S39" s="87"/>
    </row>
    <row r="40" spans="1:19">
      <c r="A40" s="5" t="s">
        <v>180</v>
      </c>
      <c r="B40" s="26">
        <f>'[2]Equip Aux'!B39</f>
        <v>2</v>
      </c>
      <c r="C40" s="31"/>
      <c r="D40" s="10"/>
      <c r="E40" s="8"/>
      <c r="F40" s="9"/>
      <c r="G40" s="10"/>
      <c r="H40" s="8"/>
      <c r="I40" s="9"/>
      <c r="J40" s="10"/>
      <c r="K40" s="8"/>
      <c r="L40" s="9"/>
      <c r="M40" s="10"/>
      <c r="N40" s="8"/>
      <c r="O40" s="9"/>
      <c r="P40" s="10"/>
      <c r="Q40" s="83"/>
      <c r="R40" s="1"/>
      <c r="S40" s="89"/>
    </row>
    <row r="41" spans="1:19">
      <c r="A41" t="s">
        <v>160</v>
      </c>
      <c r="B41" s="26">
        <f>'[2]Equip Aux'!B40</f>
        <v>4</v>
      </c>
      <c r="C41" s="31"/>
      <c r="D41" s="10"/>
      <c r="E41" s="8"/>
      <c r="F41" s="9"/>
      <c r="G41" s="10"/>
      <c r="H41" s="8"/>
      <c r="I41" s="9"/>
      <c r="J41" s="10"/>
      <c r="K41" s="8"/>
      <c r="L41" s="9"/>
      <c r="M41" s="10"/>
      <c r="N41" s="8"/>
      <c r="O41" s="9"/>
      <c r="P41" s="10"/>
      <c r="Q41" s="46"/>
      <c r="R41" s="9"/>
      <c r="S41" s="87"/>
    </row>
    <row r="42" spans="1:19">
      <c r="A42" t="s">
        <v>161</v>
      </c>
      <c r="B42" s="26">
        <f>'[2]Equip Aux'!B41</f>
        <v>1</v>
      </c>
      <c r="C42" s="31"/>
      <c r="D42" s="10"/>
      <c r="E42" s="8"/>
      <c r="F42" s="9"/>
      <c r="G42" s="10"/>
      <c r="H42" s="8"/>
      <c r="I42" s="9"/>
      <c r="J42" s="10"/>
      <c r="K42" s="8"/>
      <c r="L42" s="9"/>
      <c r="M42" s="10"/>
      <c r="N42" s="8"/>
      <c r="O42" s="9"/>
      <c r="P42" s="10"/>
      <c r="Q42" s="82"/>
      <c r="R42" s="50"/>
      <c r="S42" s="92"/>
    </row>
    <row r="43" spans="1:19">
      <c r="A43" t="s">
        <v>162</v>
      </c>
      <c r="B43" s="26">
        <f>'[2]Equip Aux'!B42</f>
        <v>1</v>
      </c>
      <c r="C43" s="31"/>
      <c r="D43" s="10"/>
      <c r="E43" s="8"/>
      <c r="F43" s="9"/>
      <c r="G43" s="10"/>
      <c r="H43" s="8"/>
      <c r="I43" s="9"/>
      <c r="J43" s="10"/>
      <c r="K43" s="8"/>
      <c r="L43" s="9"/>
      <c r="M43" s="10"/>
      <c r="N43" s="8"/>
      <c r="O43" s="9"/>
      <c r="P43" s="10"/>
      <c r="Q43" s="1"/>
      <c r="R43" s="1"/>
      <c r="S43" s="89"/>
    </row>
    <row r="44" spans="1:19">
      <c r="A44" t="s">
        <v>163</v>
      </c>
      <c r="B44" s="26">
        <f>'[2]Equip Aux'!B43</f>
        <v>0</v>
      </c>
      <c r="C44" s="31"/>
      <c r="D44" s="10"/>
      <c r="E44" s="8"/>
      <c r="F44" s="9"/>
      <c r="G44" s="10"/>
      <c r="H44" s="8"/>
      <c r="I44" s="9"/>
      <c r="J44" s="10"/>
      <c r="K44" s="8"/>
      <c r="L44" s="9"/>
      <c r="M44" s="10"/>
      <c r="N44" s="8"/>
      <c r="O44" s="9"/>
      <c r="P44" s="10"/>
      <c r="Q44" s="9"/>
      <c r="R44" s="9"/>
      <c r="S44" s="87"/>
    </row>
    <row r="45" spans="1:19">
      <c r="A45" t="s">
        <v>87</v>
      </c>
      <c r="B45" s="26">
        <f>'[2]Equip Aux'!B44</f>
        <v>1</v>
      </c>
      <c r="C45" s="31"/>
      <c r="D45" s="10"/>
      <c r="E45" s="8"/>
      <c r="F45" s="9"/>
      <c r="G45" s="10"/>
      <c r="H45" s="8"/>
      <c r="I45" s="9"/>
      <c r="J45" s="10"/>
      <c r="K45" s="8"/>
      <c r="L45" s="9"/>
      <c r="M45" s="10"/>
      <c r="N45" s="8"/>
      <c r="O45" s="9"/>
      <c r="P45" s="10"/>
      <c r="Q45" s="24"/>
      <c r="R45" s="1"/>
      <c r="S45" s="89"/>
    </row>
    <row r="46" spans="1:19">
      <c r="A46" t="s">
        <v>181</v>
      </c>
      <c r="B46" s="26">
        <f>'[2]Equip Aux'!B45</f>
        <v>1</v>
      </c>
      <c r="C46" s="31"/>
      <c r="D46" s="10"/>
      <c r="E46" s="8"/>
      <c r="F46" s="9"/>
      <c r="G46" s="10"/>
      <c r="H46" s="8"/>
      <c r="I46" s="9"/>
      <c r="J46" s="10"/>
      <c r="K46" s="8"/>
      <c r="L46" s="9"/>
      <c r="M46" s="10"/>
      <c r="N46" s="8"/>
      <c r="O46" s="9"/>
      <c r="P46" s="10"/>
      <c r="Q46" s="50"/>
      <c r="R46" s="50"/>
      <c r="S46" s="92"/>
    </row>
    <row r="47" spans="1:19">
      <c r="B47" s="16"/>
      <c r="C47" s="31"/>
      <c r="D47" s="10"/>
      <c r="E47" s="8"/>
      <c r="F47" s="9"/>
      <c r="G47" s="10"/>
      <c r="H47" s="8"/>
      <c r="I47" s="9"/>
      <c r="J47" s="10"/>
      <c r="K47" s="8"/>
      <c r="L47" s="9"/>
      <c r="M47" s="10"/>
      <c r="N47" s="8"/>
      <c r="O47" s="9"/>
      <c r="P47" s="10"/>
      <c r="Q47" s="1"/>
      <c r="R47" s="56"/>
      <c r="S47" s="93"/>
    </row>
    <row r="48" spans="1:19">
      <c r="B48" s="16"/>
      <c r="C48" s="31"/>
      <c r="D48" s="10"/>
      <c r="E48" s="8"/>
      <c r="F48" s="9"/>
      <c r="G48" s="10"/>
      <c r="H48" s="8"/>
      <c r="I48" s="9"/>
      <c r="J48" s="10"/>
      <c r="K48" s="8"/>
      <c r="L48" s="9"/>
      <c r="M48" s="10"/>
      <c r="N48" s="8"/>
      <c r="O48" s="9"/>
      <c r="P48" s="10"/>
      <c r="Q48" s="50"/>
      <c r="R48" s="50"/>
      <c r="S48" s="92"/>
    </row>
    <row r="49" spans="1:19">
      <c r="B49" s="8"/>
      <c r="C49" s="31"/>
      <c r="D49" s="10"/>
      <c r="E49" s="8"/>
      <c r="F49" s="9"/>
      <c r="G49" s="10"/>
      <c r="H49" s="8"/>
      <c r="I49" s="9"/>
      <c r="J49" s="10"/>
      <c r="K49" s="8"/>
      <c r="L49" s="9"/>
      <c r="M49" s="10"/>
      <c r="N49" s="8"/>
      <c r="O49" s="9"/>
      <c r="P49" s="10"/>
      <c r="Q49" s="1"/>
      <c r="R49" s="1"/>
      <c r="S49" s="89"/>
    </row>
    <row r="50" spans="1:19">
      <c r="B50" s="8"/>
      <c r="C50" s="31"/>
      <c r="D50" s="10"/>
      <c r="E50" s="8"/>
      <c r="F50" s="9"/>
      <c r="G50" s="10"/>
      <c r="H50" s="8"/>
      <c r="I50" s="9"/>
      <c r="J50" s="10"/>
      <c r="K50" s="8"/>
      <c r="L50" s="9"/>
      <c r="M50" s="10"/>
      <c r="N50" s="8"/>
      <c r="O50" s="9"/>
      <c r="P50" s="10"/>
      <c r="Q50" s="9"/>
      <c r="R50" s="9"/>
      <c r="S50" s="87"/>
    </row>
    <row r="51" spans="1:19" ht="14" thickBot="1">
      <c r="B51" s="12"/>
      <c r="C51" s="33"/>
      <c r="D51" s="14"/>
      <c r="E51" s="12"/>
      <c r="F51" s="13"/>
      <c r="G51" s="14"/>
      <c r="H51" s="12"/>
      <c r="I51" s="13"/>
      <c r="J51" s="14"/>
      <c r="K51" s="12"/>
      <c r="L51" s="13"/>
      <c r="M51" s="14"/>
      <c r="N51" s="12"/>
      <c r="O51" s="13"/>
      <c r="P51" s="14"/>
      <c r="Q51" s="9"/>
      <c r="R51" s="9"/>
      <c r="S51" s="87"/>
    </row>
    <row r="52" spans="1:19">
      <c r="Q52" s="9"/>
      <c r="R52" s="9"/>
      <c r="S52" s="87"/>
    </row>
    <row r="53" spans="1:19">
      <c r="Q53" s="9"/>
      <c r="R53" s="9"/>
      <c r="S53" s="87"/>
    </row>
    <row r="54" spans="1:19">
      <c r="A54" s="37" t="s">
        <v>185</v>
      </c>
      <c r="B54" s="49">
        <v>1729631</v>
      </c>
      <c r="C54" s="50">
        <v>1926631</v>
      </c>
      <c r="D54" s="51">
        <v>1666490.432</v>
      </c>
      <c r="E54" s="49">
        <v>1673631</v>
      </c>
      <c r="F54" s="50">
        <v>1839631</v>
      </c>
      <c r="G54" s="51">
        <v>438532.4</v>
      </c>
      <c r="H54" s="49">
        <v>1871631</v>
      </c>
      <c r="I54" s="50">
        <v>2012631</v>
      </c>
      <c r="J54" s="51">
        <v>0</v>
      </c>
      <c r="K54" s="49">
        <v>1879631</v>
      </c>
      <c r="L54" s="50">
        <v>2033631</v>
      </c>
      <c r="M54" s="51">
        <v>0</v>
      </c>
      <c r="N54" s="49">
        <v>1889631</v>
      </c>
      <c r="O54" s="50">
        <v>2125631</v>
      </c>
      <c r="P54" s="51">
        <v>0</v>
      </c>
      <c r="Q54" s="80">
        <v>7314524</v>
      </c>
      <c r="R54" s="50">
        <v>8011524</v>
      </c>
      <c r="S54" s="87"/>
    </row>
    <row r="55" spans="1:19">
      <c r="A55" s="2"/>
      <c r="B55" s="49"/>
      <c r="C55" s="50"/>
      <c r="D55" s="51"/>
      <c r="E55" s="49"/>
      <c r="F55" s="50"/>
      <c r="G55" s="51"/>
      <c r="H55" s="49"/>
      <c r="I55" s="50"/>
      <c r="J55" s="51"/>
      <c r="K55" s="49"/>
      <c r="L55" s="50"/>
      <c r="M55" s="51"/>
      <c r="N55" s="49"/>
      <c r="O55" s="50"/>
      <c r="P55" s="51"/>
      <c r="Q55" s="80"/>
      <c r="R55" s="50"/>
      <c r="S55" s="87"/>
    </row>
    <row r="56" spans="1:19">
      <c r="A56" s="37" t="s">
        <v>186</v>
      </c>
      <c r="B56" s="49">
        <v>1481000</v>
      </c>
      <c r="C56" s="50">
        <v>1523000</v>
      </c>
      <c r="D56" s="51">
        <v>1418443.6</v>
      </c>
      <c r="E56" s="49">
        <v>1425740</v>
      </c>
      <c r="F56" s="50">
        <v>1452280</v>
      </c>
      <c r="G56" s="51">
        <v>353249.92</v>
      </c>
      <c r="H56" s="49">
        <v>1410940</v>
      </c>
      <c r="I56" s="50">
        <v>1457280</v>
      </c>
      <c r="J56" s="51">
        <v>0</v>
      </c>
      <c r="K56" s="49">
        <v>1386940</v>
      </c>
      <c r="L56" s="50">
        <v>1436280</v>
      </c>
      <c r="M56" s="51">
        <v>0</v>
      </c>
      <c r="N56" s="49">
        <v>1386940</v>
      </c>
      <c r="O56" s="50">
        <v>1452280</v>
      </c>
      <c r="P56" s="51">
        <v>0</v>
      </c>
      <c r="Q56" s="80">
        <v>5610560</v>
      </c>
      <c r="R56" s="80">
        <v>5798120</v>
      </c>
      <c r="S56" s="87"/>
    </row>
    <row r="57" spans="1:19">
      <c r="A57" s="3"/>
      <c r="B57" s="55"/>
      <c r="C57" s="56"/>
      <c r="D57" s="57"/>
      <c r="E57" s="55"/>
      <c r="F57" s="56"/>
      <c r="G57" s="57"/>
      <c r="H57" s="55"/>
      <c r="I57" s="56"/>
      <c r="J57" s="57"/>
      <c r="K57" s="55"/>
      <c r="L57" s="56"/>
      <c r="M57" s="57"/>
      <c r="N57" s="55"/>
      <c r="O57" s="56"/>
      <c r="P57" s="57"/>
      <c r="Q57" s="54"/>
      <c r="R57" s="56"/>
      <c r="S57" s="87"/>
    </row>
    <row r="58" spans="1:19">
      <c r="A58" s="34" t="s">
        <v>117</v>
      </c>
      <c r="B58" s="55">
        <v>248631</v>
      </c>
      <c r="C58" s="56">
        <v>403631</v>
      </c>
      <c r="D58" s="57">
        <v>248046.83199999994</v>
      </c>
      <c r="E58" s="55">
        <v>247891</v>
      </c>
      <c r="F58" s="56">
        <v>387351</v>
      </c>
      <c r="G58" s="57">
        <v>85282.48</v>
      </c>
      <c r="H58" s="55">
        <v>460691</v>
      </c>
      <c r="I58" s="56">
        <v>555351</v>
      </c>
      <c r="J58" s="57">
        <v>0</v>
      </c>
      <c r="K58" s="55">
        <v>492691</v>
      </c>
      <c r="L58" s="56">
        <v>597351</v>
      </c>
      <c r="M58" s="57">
        <v>0</v>
      </c>
      <c r="N58" s="55">
        <v>502691</v>
      </c>
      <c r="O58" s="56">
        <v>673351</v>
      </c>
      <c r="P58" s="57">
        <v>0</v>
      </c>
      <c r="Q58" s="32">
        <v>1703964</v>
      </c>
      <c r="R58" s="32">
        <v>2213404</v>
      </c>
      <c r="S58" s="87"/>
    </row>
    <row r="59" spans="1:19">
      <c r="B59" s="49"/>
      <c r="C59" s="50"/>
      <c r="D59" s="51"/>
      <c r="E59" s="49"/>
      <c r="F59" s="50"/>
      <c r="G59" s="51"/>
      <c r="H59" s="49"/>
      <c r="I59" s="50"/>
      <c r="J59" s="51"/>
      <c r="K59" s="49"/>
      <c r="L59" s="50"/>
      <c r="M59" s="51"/>
      <c r="N59" s="49"/>
      <c r="O59" s="50"/>
      <c r="P59" s="51"/>
      <c r="Q59" s="50"/>
      <c r="R59" s="50"/>
      <c r="S59" s="87"/>
    </row>
    <row r="60" spans="1:19">
      <c r="A60" s="4" t="s">
        <v>173</v>
      </c>
      <c r="B60" s="11"/>
      <c r="C60" s="50"/>
      <c r="D60" s="51"/>
      <c r="E60" s="49"/>
      <c r="F60" s="50"/>
      <c r="G60" s="51"/>
      <c r="H60" s="49"/>
      <c r="I60" s="50"/>
      <c r="J60" s="51"/>
      <c r="K60" s="49"/>
      <c r="L60" s="50"/>
      <c r="M60" s="51"/>
      <c r="N60" s="49"/>
      <c r="O60" s="50"/>
      <c r="P60" s="51"/>
      <c r="Q60" s="81"/>
      <c r="R60" s="50"/>
      <c r="S60" s="87"/>
    </row>
    <row r="61" spans="1:19">
      <c r="B61" s="11"/>
      <c r="C61" s="50"/>
      <c r="D61" s="51"/>
      <c r="E61" s="49"/>
      <c r="F61" s="50"/>
      <c r="G61" s="51"/>
      <c r="H61" s="49"/>
      <c r="I61" s="50"/>
      <c r="J61" s="51"/>
      <c r="K61" s="49"/>
      <c r="L61" s="50"/>
      <c r="M61" s="51"/>
      <c r="N61" s="49"/>
      <c r="O61" s="50"/>
      <c r="P61" s="51"/>
      <c r="Q61" s="50"/>
      <c r="R61" s="50"/>
      <c r="S61" s="87"/>
    </row>
    <row r="62" spans="1:19" ht="14" thickBot="1">
      <c r="A62" s="73" t="s">
        <v>167</v>
      </c>
      <c r="B62" s="11">
        <v>0.34</v>
      </c>
      <c r="C62" s="40">
        <v>0.34</v>
      </c>
      <c r="D62" s="44">
        <v>0.34</v>
      </c>
      <c r="E62" s="11">
        <v>0.34</v>
      </c>
      <c r="F62" s="40">
        <v>0.34</v>
      </c>
      <c r="G62" s="44">
        <v>0.34</v>
      </c>
      <c r="H62" s="11">
        <v>0.34</v>
      </c>
      <c r="I62" s="40">
        <v>0.34</v>
      </c>
      <c r="J62" s="44">
        <v>0.34</v>
      </c>
      <c r="K62" s="11">
        <v>0.34</v>
      </c>
      <c r="L62" s="40">
        <v>0.34</v>
      </c>
      <c r="M62" s="44">
        <v>0.34</v>
      </c>
      <c r="N62" s="11">
        <v>0.34</v>
      </c>
      <c r="O62" s="40">
        <v>0.34</v>
      </c>
      <c r="P62" s="44">
        <v>0.34</v>
      </c>
      <c r="Q62" s="40"/>
      <c r="R62" s="40"/>
      <c r="S62" s="96"/>
    </row>
    <row r="63" spans="1:19">
      <c r="A63" s="37" t="s">
        <v>118</v>
      </c>
      <c r="B63" s="49">
        <v>70796</v>
      </c>
      <c r="C63" s="50">
        <v>70796</v>
      </c>
      <c r="D63" s="51">
        <v>71006</v>
      </c>
      <c r="E63" s="49">
        <v>70796</v>
      </c>
      <c r="F63" s="50">
        <v>70796</v>
      </c>
      <c r="G63" s="51">
        <v>22150.6</v>
      </c>
      <c r="H63" s="49">
        <v>70796</v>
      </c>
      <c r="I63" s="50">
        <v>70796</v>
      </c>
      <c r="J63" s="51">
        <v>0</v>
      </c>
      <c r="K63" s="49">
        <v>70796</v>
      </c>
      <c r="L63" s="50">
        <v>70796</v>
      </c>
      <c r="M63" s="51">
        <v>0</v>
      </c>
      <c r="N63" s="49">
        <v>70796</v>
      </c>
      <c r="O63" s="50">
        <v>70796</v>
      </c>
      <c r="P63" s="51">
        <v>0</v>
      </c>
      <c r="Q63" s="80">
        <v>283184</v>
      </c>
      <c r="R63" s="80">
        <v>283184</v>
      </c>
    </row>
    <row r="64" spans="1:19">
      <c r="A64" s="73" t="s">
        <v>168</v>
      </c>
      <c r="B64" s="11">
        <v>0.34</v>
      </c>
      <c r="C64" s="40">
        <v>0.34</v>
      </c>
      <c r="D64" s="44">
        <v>0.34</v>
      </c>
      <c r="E64" s="11">
        <v>0.34</v>
      </c>
      <c r="F64" s="40">
        <v>0.34</v>
      </c>
      <c r="G64" s="44">
        <v>0.34</v>
      </c>
      <c r="H64" s="11">
        <v>0.34</v>
      </c>
      <c r="I64" s="40">
        <v>0.34</v>
      </c>
      <c r="J64" s="44">
        <v>0.34</v>
      </c>
      <c r="K64" s="11">
        <v>0.34</v>
      </c>
      <c r="L64" s="40">
        <v>0.34</v>
      </c>
      <c r="M64" s="44">
        <v>0.34</v>
      </c>
      <c r="N64" s="11">
        <v>0.34</v>
      </c>
      <c r="O64" s="40">
        <v>0.34</v>
      </c>
      <c r="P64" s="44">
        <v>0.34</v>
      </c>
      <c r="Q64" s="80"/>
      <c r="R64" s="50"/>
    </row>
    <row r="65" spans="1:18">
      <c r="A65" s="37" t="s">
        <v>119</v>
      </c>
      <c r="B65" s="49">
        <v>29300</v>
      </c>
      <c r="C65" s="50">
        <v>29300</v>
      </c>
      <c r="D65" s="51">
        <v>29386</v>
      </c>
      <c r="E65" s="49">
        <v>29300</v>
      </c>
      <c r="F65" s="50">
        <v>29300</v>
      </c>
      <c r="G65" s="51">
        <v>7504.27</v>
      </c>
      <c r="H65" s="49">
        <v>29300</v>
      </c>
      <c r="I65" s="50">
        <v>29300</v>
      </c>
      <c r="J65" s="51">
        <v>0</v>
      </c>
      <c r="K65" s="49">
        <v>29300</v>
      </c>
      <c r="L65" s="50">
        <v>29300</v>
      </c>
      <c r="M65" s="51">
        <v>0</v>
      </c>
      <c r="N65" s="49">
        <v>29300</v>
      </c>
      <c r="O65" s="50">
        <v>29300</v>
      </c>
      <c r="P65" s="51">
        <v>0</v>
      </c>
      <c r="Q65" s="80">
        <v>117200</v>
      </c>
      <c r="R65" s="80">
        <v>117200</v>
      </c>
    </row>
    <row r="66" spans="1:18">
      <c r="A66" s="73" t="s">
        <v>169</v>
      </c>
      <c r="B66" s="11">
        <v>0.34</v>
      </c>
      <c r="C66" s="40">
        <v>0.34</v>
      </c>
      <c r="D66" s="44">
        <v>0.34</v>
      </c>
      <c r="E66" s="11">
        <v>0.34</v>
      </c>
      <c r="F66" s="40">
        <v>0.34</v>
      </c>
      <c r="G66" s="44">
        <v>0.34</v>
      </c>
      <c r="H66" s="11">
        <v>0.34</v>
      </c>
      <c r="I66" s="40">
        <v>0.34</v>
      </c>
      <c r="J66" s="44">
        <v>0.34</v>
      </c>
      <c r="K66" s="11">
        <v>0.34</v>
      </c>
      <c r="L66" s="40">
        <v>0.34</v>
      </c>
      <c r="M66" s="44">
        <v>0.34</v>
      </c>
      <c r="N66" s="11">
        <v>0.34</v>
      </c>
      <c r="O66" s="40">
        <v>0.34</v>
      </c>
      <c r="P66" s="44">
        <v>0.34</v>
      </c>
      <c r="Q66" s="80"/>
      <c r="R66" s="50"/>
    </row>
    <row r="67" spans="1:18">
      <c r="A67" s="43" t="s">
        <v>120</v>
      </c>
      <c r="B67" s="55">
        <v>20400</v>
      </c>
      <c r="C67" s="56">
        <v>20400</v>
      </c>
      <c r="D67" s="57">
        <v>20460</v>
      </c>
      <c r="E67" s="55">
        <v>20400</v>
      </c>
      <c r="F67" s="56">
        <v>20400</v>
      </c>
      <c r="G67" s="57">
        <v>4705.3</v>
      </c>
      <c r="H67" s="55">
        <v>20400</v>
      </c>
      <c r="I67" s="56">
        <v>20400</v>
      </c>
      <c r="J67" s="57">
        <v>0</v>
      </c>
      <c r="K67" s="55">
        <v>20400</v>
      </c>
      <c r="L67" s="56">
        <v>20400</v>
      </c>
      <c r="M67" s="57">
        <v>0</v>
      </c>
      <c r="N67" s="55">
        <v>20400</v>
      </c>
      <c r="O67" s="56">
        <v>20400</v>
      </c>
      <c r="P67" s="57">
        <v>0</v>
      </c>
      <c r="Q67" s="54">
        <v>81600</v>
      </c>
      <c r="R67" s="54">
        <v>81600</v>
      </c>
    </row>
    <row r="68" spans="1:18">
      <c r="A68" s="43"/>
      <c r="B68" s="55">
        <v>120496</v>
      </c>
      <c r="C68" s="56">
        <v>120496</v>
      </c>
      <c r="D68" s="57">
        <v>120852</v>
      </c>
      <c r="E68" s="55">
        <v>120496</v>
      </c>
      <c r="F68" s="56">
        <v>120496</v>
      </c>
      <c r="G68" s="57">
        <v>34360.17</v>
      </c>
      <c r="H68" s="55">
        <v>120496</v>
      </c>
      <c r="I68" s="56">
        <v>120496</v>
      </c>
      <c r="J68" s="57">
        <v>0</v>
      </c>
      <c r="K68" s="55">
        <v>120496</v>
      </c>
      <c r="L68" s="56">
        <v>120496</v>
      </c>
      <c r="M68" s="57">
        <v>0</v>
      </c>
      <c r="N68" s="55">
        <v>120496</v>
      </c>
      <c r="O68" s="56">
        <v>120496</v>
      </c>
      <c r="P68" s="57">
        <v>0</v>
      </c>
      <c r="Q68" s="32">
        <v>481984</v>
      </c>
      <c r="R68" s="32">
        <v>481984</v>
      </c>
    </row>
    <row r="69" spans="1:18">
      <c r="A69" s="43"/>
      <c r="B69" s="49"/>
      <c r="C69" s="50"/>
      <c r="D69" s="51"/>
      <c r="E69" s="49"/>
      <c r="F69" s="50"/>
      <c r="G69" s="51"/>
      <c r="H69" s="49"/>
      <c r="I69" s="50"/>
      <c r="J69" s="51"/>
      <c r="K69" s="49"/>
      <c r="L69" s="50"/>
      <c r="M69" s="51"/>
      <c r="N69" s="49"/>
      <c r="O69" s="50"/>
      <c r="P69" s="51"/>
      <c r="Q69" s="50"/>
      <c r="R69" s="50"/>
    </row>
    <row r="70" spans="1:18">
      <c r="A70" s="34" t="s">
        <v>175</v>
      </c>
      <c r="B70" s="55">
        <v>128135</v>
      </c>
      <c r="C70" s="56">
        <v>283135</v>
      </c>
      <c r="D70" s="57">
        <v>127194.83199999994</v>
      </c>
      <c r="E70" s="55">
        <v>127395</v>
      </c>
      <c r="F70" s="56">
        <v>266855</v>
      </c>
      <c r="G70" s="57">
        <v>50922.31</v>
      </c>
      <c r="H70" s="55">
        <v>340195</v>
      </c>
      <c r="I70" s="56">
        <v>434855</v>
      </c>
      <c r="J70" s="57">
        <v>0</v>
      </c>
      <c r="K70" s="55">
        <v>372195</v>
      </c>
      <c r="L70" s="56">
        <v>476855</v>
      </c>
      <c r="M70" s="57">
        <v>0</v>
      </c>
      <c r="N70" s="55">
        <v>382195</v>
      </c>
      <c r="O70" s="56">
        <v>552855</v>
      </c>
      <c r="P70" s="57">
        <v>0</v>
      </c>
      <c r="Q70" s="56">
        <v>1221980</v>
      </c>
      <c r="R70" s="56">
        <v>1731420</v>
      </c>
    </row>
    <row r="71" spans="1:18" ht="14" thickBot="1"/>
    <row r="72" spans="1:18">
      <c r="B72" s="212" t="s">
        <v>188</v>
      </c>
      <c r="C72" s="213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5"/>
    </row>
    <row r="73" spans="1:18">
      <c r="A73" s="37" t="s">
        <v>185</v>
      </c>
      <c r="B73" s="49">
        <f>B54-B6</f>
        <v>0</v>
      </c>
      <c r="C73" s="50">
        <f t="shared" ref="C73:R77" si="6">C54-C6</f>
        <v>0</v>
      </c>
      <c r="D73" s="51">
        <f t="shared" si="6"/>
        <v>0</v>
      </c>
      <c r="E73" s="49">
        <f t="shared" si="6"/>
        <v>0</v>
      </c>
      <c r="F73" s="50">
        <f t="shared" si="6"/>
        <v>0</v>
      </c>
      <c r="G73" s="51">
        <f t="shared" si="6"/>
        <v>-900109.4</v>
      </c>
      <c r="H73" s="49">
        <f t="shared" si="6"/>
        <v>0</v>
      </c>
      <c r="I73" s="50">
        <f t="shared" si="6"/>
        <v>0</v>
      </c>
      <c r="J73" s="51">
        <f t="shared" si="6"/>
        <v>-1326665.01</v>
      </c>
      <c r="K73" s="49">
        <f t="shared" si="6"/>
        <v>0</v>
      </c>
      <c r="L73" s="50">
        <f t="shared" si="6"/>
        <v>0</v>
      </c>
      <c r="M73" s="51">
        <f t="shared" si="6"/>
        <v>-1695595.3360000001</v>
      </c>
      <c r="N73" s="49">
        <f t="shared" si="6"/>
        <v>0</v>
      </c>
      <c r="O73" s="50">
        <f t="shared" si="6"/>
        <v>0</v>
      </c>
      <c r="P73" s="51">
        <f t="shared" si="6"/>
        <v>-1679295.92</v>
      </c>
      <c r="Q73" s="80">
        <f t="shared" si="6"/>
        <v>0</v>
      </c>
      <c r="R73" s="51">
        <f t="shared" si="6"/>
        <v>0</v>
      </c>
    </row>
    <row r="74" spans="1:18">
      <c r="A74" s="2"/>
      <c r="B74" s="49"/>
      <c r="C74" s="50"/>
      <c r="D74" s="51"/>
      <c r="E74" s="49"/>
      <c r="F74" s="50"/>
      <c r="G74" s="51"/>
      <c r="H74" s="49"/>
      <c r="I74" s="50"/>
      <c r="J74" s="51"/>
      <c r="K74" s="49"/>
      <c r="L74" s="50"/>
      <c r="M74" s="51"/>
      <c r="N74" s="49"/>
      <c r="O74" s="50"/>
      <c r="P74" s="51"/>
      <c r="Q74" s="80"/>
      <c r="R74" s="51"/>
    </row>
    <row r="75" spans="1:18">
      <c r="A75" s="37" t="s">
        <v>186</v>
      </c>
      <c r="B75" s="49">
        <f>B56-B8</f>
        <v>0</v>
      </c>
      <c r="C75" s="50">
        <f t="shared" si="6"/>
        <v>0</v>
      </c>
      <c r="D75" s="51">
        <f t="shared" si="6"/>
        <v>0</v>
      </c>
      <c r="E75" s="49">
        <f t="shared" si="6"/>
        <v>0</v>
      </c>
      <c r="F75" s="50">
        <f t="shared" si="6"/>
        <v>0</v>
      </c>
      <c r="G75" s="51">
        <f t="shared" si="6"/>
        <v>-826951.88000000012</v>
      </c>
      <c r="H75" s="49">
        <f t="shared" si="6"/>
        <v>0</v>
      </c>
      <c r="I75" s="50">
        <f t="shared" si="6"/>
        <v>0</v>
      </c>
      <c r="J75" s="51">
        <f t="shared" si="6"/>
        <v>-1296561.5</v>
      </c>
      <c r="K75" s="49">
        <f t="shared" si="6"/>
        <v>0</v>
      </c>
      <c r="L75" s="50">
        <f t="shared" si="6"/>
        <v>0</v>
      </c>
      <c r="M75" s="51">
        <f t="shared" si="6"/>
        <v>-1381968.8940000001</v>
      </c>
      <c r="N75" s="49">
        <f t="shared" si="6"/>
        <v>0</v>
      </c>
      <c r="O75" s="50">
        <f t="shared" si="6"/>
        <v>0</v>
      </c>
      <c r="P75" s="51">
        <f t="shared" si="6"/>
        <v>-1155144.7500000002</v>
      </c>
      <c r="Q75" s="80">
        <f t="shared" si="6"/>
        <v>0</v>
      </c>
      <c r="R75" s="216">
        <f t="shared" si="6"/>
        <v>0</v>
      </c>
    </row>
    <row r="76" spans="1:18">
      <c r="A76" s="3"/>
      <c r="B76" s="55"/>
      <c r="C76" s="56"/>
      <c r="D76" s="57"/>
      <c r="E76" s="55"/>
      <c r="F76" s="56"/>
      <c r="G76" s="57"/>
      <c r="H76" s="55"/>
      <c r="I76" s="56"/>
      <c r="J76" s="57"/>
      <c r="K76" s="55"/>
      <c r="L76" s="56"/>
      <c r="M76" s="57"/>
      <c r="N76" s="55"/>
      <c r="O76" s="56"/>
      <c r="P76" s="57"/>
      <c r="Q76" s="54"/>
      <c r="R76" s="57"/>
    </row>
    <row r="77" spans="1:18">
      <c r="A77" s="34" t="s">
        <v>117</v>
      </c>
      <c r="B77" s="55">
        <f>B58-B10</f>
        <v>0</v>
      </c>
      <c r="C77" s="56">
        <f t="shared" si="6"/>
        <v>0</v>
      </c>
      <c r="D77" s="57">
        <f t="shared" si="6"/>
        <v>0</v>
      </c>
      <c r="E77" s="55">
        <f t="shared" si="6"/>
        <v>0</v>
      </c>
      <c r="F77" s="56">
        <f t="shared" si="6"/>
        <v>0</v>
      </c>
      <c r="G77" s="57">
        <f t="shared" si="6"/>
        <v>-73157.52</v>
      </c>
      <c r="H77" s="55">
        <f t="shared" si="6"/>
        <v>0</v>
      </c>
      <c r="I77" s="56">
        <f t="shared" si="6"/>
        <v>0</v>
      </c>
      <c r="J77" s="57">
        <f t="shared" si="6"/>
        <v>-30103.510000000009</v>
      </c>
      <c r="K77" s="55">
        <f t="shared" si="6"/>
        <v>0</v>
      </c>
      <c r="L77" s="56">
        <f t="shared" si="6"/>
        <v>0</v>
      </c>
      <c r="M77" s="57">
        <f t="shared" si="6"/>
        <v>-313626.44200000004</v>
      </c>
      <c r="N77" s="55">
        <f t="shared" si="6"/>
        <v>0</v>
      </c>
      <c r="O77" s="56">
        <f t="shared" si="6"/>
        <v>0</v>
      </c>
      <c r="P77" s="57">
        <f t="shared" si="6"/>
        <v>-524151.16999999969</v>
      </c>
      <c r="Q77" s="32">
        <f t="shared" si="6"/>
        <v>0</v>
      </c>
      <c r="R77" s="36">
        <f t="shared" si="6"/>
        <v>0</v>
      </c>
    </row>
    <row r="78" spans="1:18">
      <c r="B78" s="49"/>
      <c r="C78" s="50"/>
      <c r="D78" s="51"/>
      <c r="E78" s="49"/>
      <c r="F78" s="50"/>
      <c r="G78" s="51"/>
      <c r="H78" s="49"/>
      <c r="I78" s="50"/>
      <c r="J78" s="51"/>
      <c r="K78" s="49"/>
      <c r="L78" s="50"/>
      <c r="M78" s="51"/>
      <c r="N78" s="49"/>
      <c r="O78" s="50"/>
      <c r="P78" s="51"/>
      <c r="Q78" s="50"/>
      <c r="R78" s="51"/>
    </row>
    <row r="79" spans="1:18">
      <c r="A79" s="4" t="s">
        <v>173</v>
      </c>
      <c r="B79" s="11"/>
      <c r="C79" s="50"/>
      <c r="D79" s="51"/>
      <c r="E79" s="49"/>
      <c r="F79" s="50"/>
      <c r="G79" s="51"/>
      <c r="H79" s="49"/>
      <c r="I79" s="50"/>
      <c r="J79" s="51"/>
      <c r="K79" s="49"/>
      <c r="L79" s="50"/>
      <c r="M79" s="51"/>
      <c r="N79" s="49"/>
      <c r="O79" s="50"/>
      <c r="P79" s="51"/>
      <c r="Q79" s="81"/>
      <c r="R79" s="51"/>
    </row>
    <row r="80" spans="1:18">
      <c r="B80" s="11"/>
      <c r="C80" s="50"/>
      <c r="D80" s="51"/>
      <c r="E80" s="49"/>
      <c r="F80" s="50"/>
      <c r="G80" s="51"/>
      <c r="H80" s="49"/>
      <c r="I80" s="50"/>
      <c r="J80" s="51"/>
      <c r="K80" s="49"/>
      <c r="L80" s="50"/>
      <c r="M80" s="51"/>
      <c r="N80" s="49"/>
      <c r="O80" s="50"/>
      <c r="P80" s="51"/>
      <c r="Q80" s="50"/>
      <c r="R80" s="51"/>
    </row>
    <row r="81" spans="1:18">
      <c r="A81" s="73" t="s">
        <v>167</v>
      </c>
      <c r="B81" s="11"/>
      <c r="C81" s="40"/>
      <c r="D81" s="44"/>
      <c r="E81" s="11"/>
      <c r="F81" s="40"/>
      <c r="G81" s="44"/>
      <c r="H81" s="11"/>
      <c r="I81" s="40"/>
      <c r="J81" s="44"/>
      <c r="K81" s="11"/>
      <c r="L81" s="40"/>
      <c r="M81" s="44"/>
      <c r="N81" s="11"/>
      <c r="O81" s="40"/>
      <c r="P81" s="44"/>
      <c r="Q81" s="40"/>
      <c r="R81" s="44"/>
    </row>
    <row r="82" spans="1:18">
      <c r="A82" s="37" t="s">
        <v>118</v>
      </c>
      <c r="B82" s="49">
        <f>B63-B15</f>
        <v>0</v>
      </c>
      <c r="C82" s="50">
        <f t="shared" ref="C82:R86" si="7">C63-C15</f>
        <v>0</v>
      </c>
      <c r="D82" s="51">
        <f t="shared" si="7"/>
        <v>0</v>
      </c>
      <c r="E82" s="49">
        <f t="shared" si="7"/>
        <v>0</v>
      </c>
      <c r="F82" s="50">
        <f t="shared" si="7"/>
        <v>0</v>
      </c>
      <c r="G82" s="51">
        <f t="shared" si="7"/>
        <v>-43046.400000000001</v>
      </c>
      <c r="H82" s="49">
        <f t="shared" si="7"/>
        <v>0</v>
      </c>
      <c r="I82" s="50">
        <f t="shared" si="7"/>
        <v>0</v>
      </c>
      <c r="J82" s="51">
        <f t="shared" si="7"/>
        <v>-46989.630300000004</v>
      </c>
      <c r="K82" s="49">
        <f t="shared" si="7"/>
        <v>0</v>
      </c>
      <c r="L82" s="50">
        <f t="shared" si="7"/>
        <v>0</v>
      </c>
      <c r="M82" s="51">
        <f t="shared" si="7"/>
        <v>-65146.626000000011</v>
      </c>
      <c r="N82" s="49">
        <f t="shared" si="7"/>
        <v>0</v>
      </c>
      <c r="O82" s="50">
        <f t="shared" si="7"/>
        <v>0</v>
      </c>
      <c r="P82" s="51">
        <f t="shared" si="7"/>
        <v>-76232.536000000007</v>
      </c>
      <c r="Q82" s="80">
        <f t="shared" si="7"/>
        <v>0</v>
      </c>
      <c r="R82" s="216">
        <f t="shared" si="7"/>
        <v>0</v>
      </c>
    </row>
    <row r="83" spans="1:18">
      <c r="A83" s="73" t="s">
        <v>168</v>
      </c>
      <c r="B83" s="11"/>
      <c r="C83" s="40"/>
      <c r="D83" s="44"/>
      <c r="E83" s="11"/>
      <c r="F83" s="40"/>
      <c r="G83" s="44"/>
      <c r="H83" s="11"/>
      <c r="I83" s="40"/>
      <c r="J83" s="44"/>
      <c r="K83" s="11"/>
      <c r="L83" s="40"/>
      <c r="M83" s="44"/>
      <c r="N83" s="11"/>
      <c r="O83" s="40"/>
      <c r="P83" s="44"/>
      <c r="Q83" s="80"/>
      <c r="R83" s="51"/>
    </row>
    <row r="84" spans="1:18">
      <c r="A84" s="37" t="s">
        <v>119</v>
      </c>
      <c r="B84" s="49">
        <f>B65-B17</f>
        <v>0</v>
      </c>
      <c r="C84" s="50">
        <f t="shared" si="7"/>
        <v>0</v>
      </c>
      <c r="D84" s="51">
        <f t="shared" si="7"/>
        <v>0</v>
      </c>
      <c r="E84" s="49">
        <f t="shared" si="7"/>
        <v>0</v>
      </c>
      <c r="F84" s="50">
        <f t="shared" si="7"/>
        <v>0</v>
      </c>
      <c r="G84" s="51">
        <f t="shared" si="7"/>
        <v>-14826.73</v>
      </c>
      <c r="H84" s="49">
        <f t="shared" si="7"/>
        <v>0</v>
      </c>
      <c r="I84" s="50">
        <f t="shared" si="7"/>
        <v>0</v>
      </c>
      <c r="J84" s="51">
        <f t="shared" si="7"/>
        <v>-22069.366000000002</v>
      </c>
      <c r="K84" s="49">
        <f t="shared" si="7"/>
        <v>0</v>
      </c>
      <c r="L84" s="50">
        <f t="shared" si="7"/>
        <v>0</v>
      </c>
      <c r="M84" s="51">
        <f t="shared" si="7"/>
        <v>-22950.300000000003</v>
      </c>
      <c r="N84" s="49">
        <f t="shared" si="7"/>
        <v>0</v>
      </c>
      <c r="O84" s="50">
        <f t="shared" si="7"/>
        <v>0</v>
      </c>
      <c r="P84" s="51">
        <f t="shared" si="7"/>
        <v>-21704.647000000004</v>
      </c>
      <c r="Q84" s="80">
        <f t="shared" si="7"/>
        <v>0</v>
      </c>
      <c r="R84" s="216">
        <f t="shared" si="7"/>
        <v>0</v>
      </c>
    </row>
    <row r="85" spans="1:18">
      <c r="A85" s="73" t="s">
        <v>169</v>
      </c>
      <c r="B85" s="11"/>
      <c r="C85" s="40"/>
      <c r="D85" s="44"/>
      <c r="E85" s="11"/>
      <c r="F85" s="40"/>
      <c r="G85" s="44"/>
      <c r="H85" s="11"/>
      <c r="I85" s="40"/>
      <c r="J85" s="44"/>
      <c r="K85" s="11"/>
      <c r="L85" s="40"/>
      <c r="M85" s="44"/>
      <c r="N85" s="11"/>
      <c r="O85" s="40"/>
      <c r="P85" s="44"/>
      <c r="Q85" s="80"/>
      <c r="R85" s="51"/>
    </row>
    <row r="86" spans="1:18">
      <c r="A86" s="43" t="s">
        <v>120</v>
      </c>
      <c r="B86" s="55">
        <f>B67-B19</f>
        <v>0</v>
      </c>
      <c r="C86" s="56">
        <f t="shared" si="7"/>
        <v>0</v>
      </c>
      <c r="D86" s="57">
        <f t="shared" si="7"/>
        <v>0</v>
      </c>
      <c r="E86" s="55">
        <f t="shared" si="7"/>
        <v>0</v>
      </c>
      <c r="F86" s="56">
        <f t="shared" si="7"/>
        <v>0</v>
      </c>
      <c r="G86" s="57">
        <f t="shared" si="7"/>
        <v>-11929.7</v>
      </c>
      <c r="H86" s="55">
        <f t="shared" si="7"/>
        <v>0</v>
      </c>
      <c r="I86" s="56">
        <f t="shared" si="7"/>
        <v>0</v>
      </c>
      <c r="J86" s="57">
        <f t="shared" si="7"/>
        <v>-14067.214800000002</v>
      </c>
      <c r="K86" s="55">
        <f t="shared" si="7"/>
        <v>0</v>
      </c>
      <c r="L86" s="56">
        <f t="shared" si="7"/>
        <v>0</v>
      </c>
      <c r="M86" s="57">
        <f t="shared" si="7"/>
        <v>-6102.72</v>
      </c>
      <c r="N86" s="55">
        <f t="shared" si="7"/>
        <v>0</v>
      </c>
      <c r="O86" s="56">
        <f t="shared" si="7"/>
        <v>0</v>
      </c>
      <c r="P86" s="57">
        <f t="shared" si="7"/>
        <v>-12711.787999999999</v>
      </c>
      <c r="Q86" s="54">
        <f t="shared" si="7"/>
        <v>0</v>
      </c>
      <c r="R86" s="217">
        <f t="shared" si="7"/>
        <v>0</v>
      </c>
    </row>
    <row r="87" spans="1:18">
      <c r="A87" s="43"/>
      <c r="B87" s="55"/>
      <c r="C87" s="56"/>
      <c r="D87" s="57"/>
      <c r="E87" s="55"/>
      <c r="F87" s="56"/>
      <c r="G87" s="57"/>
      <c r="H87" s="55"/>
      <c r="I87" s="56"/>
      <c r="J87" s="57"/>
      <c r="K87" s="55"/>
      <c r="L87" s="56"/>
      <c r="M87" s="57"/>
      <c r="N87" s="55"/>
      <c r="O87" s="56"/>
      <c r="P87" s="57"/>
      <c r="Q87" s="32"/>
      <c r="R87" s="36"/>
    </row>
    <row r="88" spans="1:18">
      <c r="A88" s="43"/>
      <c r="B88" s="49"/>
      <c r="C88" s="50"/>
      <c r="D88" s="51"/>
      <c r="E88" s="49"/>
      <c r="F88" s="50"/>
      <c r="G88" s="51"/>
      <c r="H88" s="49"/>
      <c r="I88" s="50"/>
      <c r="J88" s="51"/>
      <c r="K88" s="49"/>
      <c r="L88" s="50"/>
      <c r="M88" s="51"/>
      <c r="N88" s="49"/>
      <c r="O88" s="50"/>
      <c r="P88" s="51"/>
      <c r="Q88" s="50"/>
      <c r="R88" s="51"/>
    </row>
    <row r="89" spans="1:18" ht="14" thickBot="1">
      <c r="A89" s="34" t="s">
        <v>175</v>
      </c>
      <c r="B89" s="68">
        <f>B70-B22</f>
        <v>0</v>
      </c>
      <c r="C89" s="69">
        <f t="shared" ref="C89:R89" si="8">C70-C22</f>
        <v>0</v>
      </c>
      <c r="D89" s="70">
        <f t="shared" si="8"/>
        <v>0</v>
      </c>
      <c r="E89" s="68">
        <f t="shared" si="8"/>
        <v>0</v>
      </c>
      <c r="F89" s="69">
        <f t="shared" si="8"/>
        <v>0</v>
      </c>
      <c r="G89" s="70">
        <f t="shared" si="8"/>
        <v>-3354.6900000000023</v>
      </c>
      <c r="H89" s="68">
        <f t="shared" si="8"/>
        <v>0</v>
      </c>
      <c r="I89" s="69">
        <f t="shared" si="8"/>
        <v>0</v>
      </c>
      <c r="J89" s="70">
        <f t="shared" si="8"/>
        <v>53022.701100000006</v>
      </c>
      <c r="K89" s="68">
        <f t="shared" si="8"/>
        <v>0</v>
      </c>
      <c r="L89" s="69">
        <f t="shared" si="8"/>
        <v>0</v>
      </c>
      <c r="M89" s="70">
        <f t="shared" si="8"/>
        <v>-219426.79600000003</v>
      </c>
      <c r="N89" s="68">
        <f t="shared" si="8"/>
        <v>0</v>
      </c>
      <c r="O89" s="69">
        <f t="shared" si="8"/>
        <v>0</v>
      </c>
      <c r="P89" s="70">
        <f t="shared" si="8"/>
        <v>-413502.19899999967</v>
      </c>
      <c r="Q89" s="69">
        <f t="shared" si="8"/>
        <v>0</v>
      </c>
      <c r="R89" s="70">
        <f t="shared" si="8"/>
        <v>0</v>
      </c>
    </row>
    <row r="100" spans="1:35" ht="14" thickBot="1">
      <c r="A100" s="73" t="s">
        <v>167</v>
      </c>
      <c r="C100"/>
      <c r="Q100" s="40"/>
      <c r="R100" s="40"/>
      <c r="S100" s="96"/>
    </row>
    <row r="101" spans="1:35">
      <c r="A101" s="37" t="s">
        <v>118</v>
      </c>
      <c r="C101"/>
      <c r="Q101" s="80"/>
      <c r="R101" s="80"/>
      <c r="U101">
        <f>'[2]Equip Aux'!U101:U101</f>
        <v>0</v>
      </c>
      <c r="V101">
        <f>'[2]Equip Aux'!V101:V101</f>
        <v>0</v>
      </c>
      <c r="W101">
        <f>'[2]Equip Aux'!W101:W101</f>
        <v>0</v>
      </c>
      <c r="X101">
        <f>'[2]Equip Aux'!X101:X101</f>
        <v>0</v>
      </c>
      <c r="Y101">
        <f>'[2]Equip Aux'!Y101:Y101</f>
        <v>0</v>
      </c>
      <c r="Z101">
        <f>'[2]Equip Aux'!Z101:Z101</f>
        <v>0</v>
      </c>
      <c r="AA101">
        <f>'[2]Equip Aux'!AA101:AA101</f>
        <v>0</v>
      </c>
      <c r="AB101">
        <f>'[2]Equip Aux'!AB101:AB101</f>
        <v>0</v>
      </c>
      <c r="AC101">
        <f>'[2]Equip Aux'!AC101:AC101</f>
        <v>0</v>
      </c>
      <c r="AD101">
        <f>'[2]Equip Aux'!AD101:AD101</f>
        <v>0</v>
      </c>
      <c r="AE101">
        <f>'[2]Equip Aux'!AE101:AE101</f>
        <v>0</v>
      </c>
      <c r="AF101">
        <f>'[2]Equip Aux'!AF101:AF101</f>
        <v>0</v>
      </c>
      <c r="AG101">
        <f>'[2]Equip Aux'!AG101:AG101</f>
        <v>0</v>
      </c>
      <c r="AH101">
        <f>'[2]Equip Aux'!AH101:AH101</f>
        <v>0</v>
      </c>
      <c r="AI101">
        <f>'[2]Equip Aux'!AI101:AI101</f>
        <v>0</v>
      </c>
    </row>
    <row r="102" spans="1:35">
      <c r="A102" s="73" t="s">
        <v>168</v>
      </c>
      <c r="C102"/>
      <c r="Q102" s="80"/>
      <c r="R102" s="50"/>
    </row>
    <row r="103" spans="1:35">
      <c r="A103" s="37" t="s">
        <v>119</v>
      </c>
      <c r="C103"/>
      <c r="Q103" s="80"/>
      <c r="R103" s="80"/>
      <c r="U103">
        <f>'[2]Equip Aux'!U103:U103</f>
        <v>0</v>
      </c>
      <c r="V103">
        <f>'[2]Equip Aux'!V103:V103</f>
        <v>0</v>
      </c>
      <c r="W103">
        <f>'[2]Equip Aux'!W103:W103</f>
        <v>0</v>
      </c>
      <c r="X103">
        <f>'[2]Equip Aux'!X103:X103</f>
        <v>0</v>
      </c>
      <c r="Y103">
        <f>'[2]Equip Aux'!Y103:Y103</f>
        <v>0</v>
      </c>
      <c r="Z103">
        <f>'[2]Equip Aux'!Z103:Z103</f>
        <v>0</v>
      </c>
      <c r="AA103">
        <f>'[2]Equip Aux'!AA103:AA103</f>
        <v>0</v>
      </c>
      <c r="AB103">
        <f>'[2]Equip Aux'!AB103:AB103</f>
        <v>0</v>
      </c>
      <c r="AC103">
        <f>'[2]Equip Aux'!AC103:AC103</f>
        <v>0</v>
      </c>
      <c r="AD103">
        <f>'[2]Equip Aux'!AD103:AD103</f>
        <v>0</v>
      </c>
      <c r="AE103">
        <f>'[2]Equip Aux'!AE103:AE103</f>
        <v>0</v>
      </c>
      <c r="AF103">
        <f>'[2]Equip Aux'!AF103:AF103</f>
        <v>0</v>
      </c>
      <c r="AG103">
        <f>'[2]Equip Aux'!AG103:AG103</f>
        <v>0</v>
      </c>
      <c r="AH103">
        <f>'[2]Equip Aux'!AH103:AH103</f>
        <v>0</v>
      </c>
      <c r="AI103">
        <f>'[2]Equip Aux'!AI103:AI103</f>
        <v>0</v>
      </c>
    </row>
    <row r="104" spans="1:35">
      <c r="A104" s="73" t="s">
        <v>169</v>
      </c>
      <c r="C104"/>
      <c r="Q104" s="80"/>
      <c r="R104" s="50"/>
    </row>
    <row r="105" spans="1:35">
      <c r="A105" s="43" t="s">
        <v>120</v>
      </c>
      <c r="C105"/>
      <c r="Q105" s="54"/>
      <c r="R105" s="54"/>
      <c r="U105">
        <f>'[2]Equip Aux'!U105:U105</f>
        <v>0</v>
      </c>
      <c r="V105">
        <f>'[2]Equip Aux'!V105:V105</f>
        <v>0</v>
      </c>
      <c r="W105">
        <f>'[2]Equip Aux'!W105:W105</f>
        <v>0</v>
      </c>
      <c r="X105">
        <f>'[2]Equip Aux'!X105:X105</f>
        <v>0</v>
      </c>
      <c r="Y105">
        <f>'[2]Equip Aux'!Y105:Y105</f>
        <v>0</v>
      </c>
      <c r="Z105">
        <f>'[2]Equip Aux'!Z105:Z105</f>
        <v>0</v>
      </c>
      <c r="AA105">
        <f>'[2]Equip Aux'!AA105:AA105</f>
        <v>0</v>
      </c>
      <c r="AB105">
        <f>'[2]Equip Aux'!AB105:AB105</f>
        <v>0</v>
      </c>
      <c r="AC105">
        <f>'[2]Equip Aux'!AC105:AC105</f>
        <v>0</v>
      </c>
      <c r="AD105">
        <f>'[2]Equip Aux'!AD105:AD105</f>
        <v>0</v>
      </c>
      <c r="AE105">
        <f>'[2]Equip Aux'!AE105:AE105</f>
        <v>0</v>
      </c>
      <c r="AF105">
        <f>'[2]Equip Aux'!AF105:AF105</f>
        <v>0</v>
      </c>
      <c r="AG105">
        <f>'[2]Equip Aux'!AG105:AG105</f>
        <v>0</v>
      </c>
      <c r="AH105">
        <f>'[2]Equip Aux'!AH105:AH105</f>
        <v>0</v>
      </c>
      <c r="AI105">
        <f>'[2]Equip Aux'!AI105:AI105</f>
        <v>0</v>
      </c>
    </row>
    <row r="108" spans="1:35">
      <c r="B108" s="11">
        <f>'[2]Equip Aux'!B14:B14</f>
        <v>0.34000000000000008</v>
      </c>
    </row>
  </sheetData>
  <printOptions gridLines="1" gridLinesSet="0"/>
  <pageMargins left="0.75" right="0.75" top="1" bottom="1" header="0.5" footer="0.5"/>
  <pageSetup paperSize="0" orientation="landscape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62"/>
  <sheetViews>
    <sheetView showZeros="0" workbookViewId="0">
      <pane xSplit="1" ySplit="4" topLeftCell="AB5" activePane="bottomRight" state="frozenSplit"/>
      <selection pane="topRight" activeCell="B1" sqref="B1"/>
      <selection pane="bottomLeft" activeCell="A4" sqref="A4"/>
      <selection pane="bottomRight" activeCell="AD10" sqref="AB10:AD10"/>
    </sheetView>
  </sheetViews>
  <sheetFormatPr baseColWidth="10" defaultColWidth="11.42578125" defaultRowHeight="13" x14ac:dyDescent="0"/>
  <cols>
    <col min="1" max="1" width="30.5703125" customWidth="1"/>
    <col min="2" max="2" width="8.85546875" customWidth="1"/>
    <col min="3" max="3" width="8.85546875" style="27" customWidth="1"/>
    <col min="4" max="11" width="8.85546875" customWidth="1"/>
    <col min="12" max="12" width="9.42578125" customWidth="1"/>
    <col min="13" max="16" width="8.85546875" customWidth="1"/>
    <col min="17" max="18" width="11.85546875" customWidth="1"/>
  </cols>
  <sheetData>
    <row r="1" spans="1:35" ht="14" thickBot="1">
      <c r="U1" s="97"/>
      <c r="V1" s="97"/>
      <c r="W1" s="97"/>
      <c r="X1" s="97"/>
      <c r="Y1" s="97"/>
      <c r="Z1" s="97"/>
      <c r="AA1" s="97"/>
      <c r="AB1" s="97"/>
      <c r="AC1" s="97"/>
    </row>
    <row r="2" spans="1:35">
      <c r="B2" s="15">
        <v>1996</v>
      </c>
      <c r="C2" s="28">
        <v>1996</v>
      </c>
      <c r="D2" s="19">
        <v>1996</v>
      </c>
      <c r="E2" s="15">
        <v>1997</v>
      </c>
      <c r="F2" s="18">
        <v>1997</v>
      </c>
      <c r="G2" s="19">
        <v>1997</v>
      </c>
      <c r="H2" s="15">
        <v>1997</v>
      </c>
      <c r="I2" s="18">
        <v>1997</v>
      </c>
      <c r="J2" s="19">
        <v>1997</v>
      </c>
      <c r="K2" s="15">
        <v>1997</v>
      </c>
      <c r="L2" s="18">
        <v>1997</v>
      </c>
      <c r="M2" s="19">
        <v>1997</v>
      </c>
      <c r="N2" s="15">
        <v>1997</v>
      </c>
      <c r="O2" s="18">
        <v>1997</v>
      </c>
      <c r="P2" s="19">
        <v>1997</v>
      </c>
      <c r="Q2" s="15">
        <v>1997</v>
      </c>
      <c r="R2" s="18">
        <v>1997</v>
      </c>
      <c r="S2" s="19">
        <v>1997</v>
      </c>
      <c r="U2" s="98" t="s">
        <v>103</v>
      </c>
      <c r="V2" s="98" t="s">
        <v>103</v>
      </c>
      <c r="W2" s="98" t="s">
        <v>103</v>
      </c>
      <c r="X2" s="98" t="s">
        <v>103</v>
      </c>
      <c r="Y2" s="98" t="s">
        <v>103</v>
      </c>
      <c r="Z2" s="98" t="s">
        <v>103</v>
      </c>
      <c r="AA2" s="98" t="s">
        <v>103</v>
      </c>
      <c r="AB2" s="98" t="s">
        <v>103</v>
      </c>
      <c r="AC2" s="98" t="s">
        <v>103</v>
      </c>
      <c r="AD2" s="98" t="s">
        <v>103</v>
      </c>
      <c r="AE2" s="98" t="s">
        <v>103</v>
      </c>
      <c r="AF2" s="98" t="s">
        <v>103</v>
      </c>
      <c r="AG2" s="98"/>
      <c r="AH2" s="98"/>
      <c r="AI2" s="98"/>
    </row>
    <row r="3" spans="1:35">
      <c r="B3" s="16" t="s">
        <v>104</v>
      </c>
      <c r="C3" s="29" t="s">
        <v>104</v>
      </c>
      <c r="D3" s="21" t="s">
        <v>104</v>
      </c>
      <c r="E3" s="16" t="s">
        <v>105</v>
      </c>
      <c r="F3" s="20" t="s">
        <v>105</v>
      </c>
      <c r="G3" s="21" t="s">
        <v>105</v>
      </c>
      <c r="H3" s="16" t="s">
        <v>106</v>
      </c>
      <c r="I3" s="20" t="s">
        <v>106</v>
      </c>
      <c r="J3" s="21" t="s">
        <v>106</v>
      </c>
      <c r="K3" s="16" t="s">
        <v>107</v>
      </c>
      <c r="L3" s="20" t="s">
        <v>108</v>
      </c>
      <c r="M3" s="21" t="s">
        <v>108</v>
      </c>
      <c r="N3" s="16" t="s">
        <v>104</v>
      </c>
      <c r="O3" s="20" t="s">
        <v>104</v>
      </c>
      <c r="P3" s="21" t="s">
        <v>104</v>
      </c>
      <c r="Q3" s="20" t="s">
        <v>109</v>
      </c>
      <c r="R3" s="20" t="s">
        <v>109</v>
      </c>
      <c r="S3" s="85" t="s">
        <v>109</v>
      </c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</row>
    <row r="4" spans="1:35">
      <c r="A4" s="1"/>
      <c r="B4" s="17" t="s">
        <v>111</v>
      </c>
      <c r="C4" s="30" t="s">
        <v>112</v>
      </c>
      <c r="D4" s="23" t="s">
        <v>103</v>
      </c>
      <c r="E4" s="17" t="s">
        <v>111</v>
      </c>
      <c r="F4" s="22" t="s">
        <v>112</v>
      </c>
      <c r="G4" s="23" t="s">
        <v>103</v>
      </c>
      <c r="H4" s="17" t="s">
        <v>111</v>
      </c>
      <c r="I4" s="22" t="s">
        <v>112</v>
      </c>
      <c r="J4" s="23" t="s">
        <v>103</v>
      </c>
      <c r="K4" s="17" t="s">
        <v>111</v>
      </c>
      <c r="L4" s="22" t="s">
        <v>112</v>
      </c>
      <c r="M4" s="23" t="s">
        <v>103</v>
      </c>
      <c r="N4" s="17" t="s">
        <v>111</v>
      </c>
      <c r="O4" s="22" t="s">
        <v>112</v>
      </c>
      <c r="P4" s="23" t="s">
        <v>103</v>
      </c>
      <c r="Q4" s="17" t="s">
        <v>111</v>
      </c>
      <c r="R4" s="22" t="s">
        <v>112</v>
      </c>
      <c r="S4" s="23" t="s">
        <v>103</v>
      </c>
      <c r="U4" s="100">
        <v>33877</v>
      </c>
      <c r="V4" s="100">
        <v>33908</v>
      </c>
      <c r="W4" s="100">
        <v>33938</v>
      </c>
      <c r="X4" s="100">
        <v>33969</v>
      </c>
      <c r="Y4" s="100">
        <v>34000</v>
      </c>
      <c r="Z4" s="100">
        <v>34028</v>
      </c>
      <c r="AA4" s="100">
        <v>34059</v>
      </c>
      <c r="AB4" s="100">
        <v>34089</v>
      </c>
      <c r="AC4" s="100">
        <v>34120</v>
      </c>
      <c r="AD4" s="100">
        <v>34150</v>
      </c>
      <c r="AE4" s="100">
        <v>34181</v>
      </c>
      <c r="AF4" s="100">
        <v>34212</v>
      </c>
      <c r="AG4" s="100">
        <v>34242</v>
      </c>
      <c r="AH4" s="100">
        <v>34273</v>
      </c>
      <c r="AI4" s="100">
        <v>34303</v>
      </c>
    </row>
    <row r="5" spans="1:35">
      <c r="B5" s="8"/>
      <c r="C5" s="31"/>
      <c r="D5" s="10"/>
      <c r="E5" s="8"/>
      <c r="F5" s="9"/>
      <c r="G5" s="10"/>
      <c r="H5" s="8"/>
      <c r="I5" s="9"/>
      <c r="J5" s="10"/>
      <c r="K5" s="8"/>
      <c r="L5" s="9"/>
      <c r="M5" s="10"/>
      <c r="N5" s="8"/>
      <c r="O5" s="9"/>
      <c r="P5" s="10"/>
      <c r="Q5" s="50"/>
      <c r="R5" s="50"/>
      <c r="S5" s="87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</row>
    <row r="6" spans="1:35">
      <c r="A6" s="37" t="s">
        <v>189</v>
      </c>
      <c r="B6" s="26">
        <v>175000</v>
      </c>
      <c r="C6" s="31">
        <v>250000</v>
      </c>
      <c r="D6" s="38">
        <f>U6+V6+W6</f>
        <v>19800.010000000002</v>
      </c>
      <c r="E6" s="26">
        <v>70000</v>
      </c>
      <c r="F6" s="31">
        <v>100000</v>
      </c>
      <c r="G6" s="38">
        <f>X6+Y6+Z6</f>
        <v>43896</v>
      </c>
      <c r="H6" s="26">
        <v>140000</v>
      </c>
      <c r="I6" s="31">
        <v>180000</v>
      </c>
      <c r="J6" s="38">
        <f>AA6+AB6+AC6</f>
        <v>118003</v>
      </c>
      <c r="K6" s="26">
        <v>140000</v>
      </c>
      <c r="L6" s="31">
        <v>180000</v>
      </c>
      <c r="M6" s="38">
        <f>AD6+AE6+AF6</f>
        <v>9768</v>
      </c>
      <c r="N6" s="26">
        <v>130000</v>
      </c>
      <c r="O6" s="31">
        <v>160000</v>
      </c>
      <c r="P6" s="38">
        <f>AG6+AH6+AI6</f>
        <v>119895</v>
      </c>
      <c r="Q6" s="80">
        <f>N6+K6+H6+E6</f>
        <v>480000</v>
      </c>
      <c r="R6" s="80">
        <f>O6+L6+I6+F6</f>
        <v>620000</v>
      </c>
      <c r="S6" s="88">
        <f>G6+J6+M6+P6</f>
        <v>291562</v>
      </c>
      <c r="U6" s="101">
        <v>0.01</v>
      </c>
      <c r="V6" s="101">
        <v>7800</v>
      </c>
      <c r="W6" s="101">
        <v>12000</v>
      </c>
      <c r="X6" s="101">
        <v>22458</v>
      </c>
      <c r="Y6" s="101">
        <v>11260</v>
      </c>
      <c r="Z6" s="101">
        <v>10178</v>
      </c>
      <c r="AA6" s="101">
        <v>15000</v>
      </c>
      <c r="AB6" s="101">
        <v>45552</v>
      </c>
      <c r="AC6" s="101">
        <v>57451</v>
      </c>
      <c r="AD6" s="101">
        <v>2130</v>
      </c>
      <c r="AE6" s="101">
        <v>0</v>
      </c>
      <c r="AF6" s="101">
        <v>7638</v>
      </c>
      <c r="AG6" s="101">
        <v>19320</v>
      </c>
      <c r="AH6" s="101">
        <v>16620</v>
      </c>
      <c r="AI6" s="101">
        <v>83955</v>
      </c>
    </row>
    <row r="7" spans="1:35">
      <c r="A7" s="2"/>
      <c r="B7" s="8"/>
      <c r="C7" s="31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0"/>
      <c r="R7" s="50"/>
      <c r="S7" s="87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</row>
    <row r="8" spans="1:35">
      <c r="A8" s="37" t="s">
        <v>190</v>
      </c>
      <c r="B8" s="26">
        <v>170000</v>
      </c>
      <c r="C8" s="31">
        <v>240000</v>
      </c>
      <c r="D8" s="38">
        <f>U8+V8+W8</f>
        <v>39610.25</v>
      </c>
      <c r="E8" s="26">
        <v>61000</v>
      </c>
      <c r="F8" s="31">
        <v>70000</v>
      </c>
      <c r="G8" s="38">
        <f>X8+Y8+Z8</f>
        <v>41961.38</v>
      </c>
      <c r="H8" s="26">
        <v>125000</v>
      </c>
      <c r="I8" s="31">
        <v>150000</v>
      </c>
      <c r="J8" s="38">
        <f>AA8+AB8+AC8</f>
        <v>83868</v>
      </c>
      <c r="K8" s="26">
        <v>125000</v>
      </c>
      <c r="L8" s="31">
        <v>155000</v>
      </c>
      <c r="M8" s="38">
        <f>AD8+AE8+AF8</f>
        <v>64723.82</v>
      </c>
      <c r="N8" s="26">
        <v>110000</v>
      </c>
      <c r="O8" s="31">
        <v>140000</v>
      </c>
      <c r="P8" s="38">
        <f>AG8+AH8+AI8</f>
        <v>142713.57</v>
      </c>
      <c r="Q8" s="80">
        <f>N8+K8+H8+E8</f>
        <v>421000</v>
      </c>
      <c r="R8" s="80">
        <f>O8+L8+I8+F8</f>
        <v>515000</v>
      </c>
      <c r="S8" s="88">
        <f>G8+J8+M8+P8</f>
        <v>333266.77</v>
      </c>
      <c r="U8" s="101">
        <v>10097</v>
      </c>
      <c r="V8" s="101">
        <v>11541</v>
      </c>
      <c r="W8" s="101">
        <v>17972.25</v>
      </c>
      <c r="X8" s="101">
        <v>15092</v>
      </c>
      <c r="Y8" s="101">
        <v>16698</v>
      </c>
      <c r="Z8" s="101">
        <v>10171.379999999999</v>
      </c>
      <c r="AA8" s="101">
        <v>14119</v>
      </c>
      <c r="AB8" s="101">
        <v>32367</v>
      </c>
      <c r="AC8" s="101">
        <v>37382</v>
      </c>
      <c r="AD8" s="101">
        <v>31204.52</v>
      </c>
      <c r="AE8" s="101">
        <v>14207.77</v>
      </c>
      <c r="AF8" s="101">
        <v>19311.53</v>
      </c>
      <c r="AG8" s="101">
        <v>16998.419999999998</v>
      </c>
      <c r="AH8" s="101">
        <v>16438.849999999999</v>
      </c>
      <c r="AI8" s="101">
        <v>109276.3</v>
      </c>
    </row>
    <row r="9" spans="1:35" ht="14" thickBot="1">
      <c r="A9" s="3"/>
      <c r="B9" s="6"/>
      <c r="C9" s="32"/>
      <c r="D9" s="7"/>
      <c r="E9" s="6"/>
      <c r="F9" s="1"/>
      <c r="G9" s="7"/>
      <c r="H9" s="6"/>
      <c r="I9" s="1"/>
      <c r="J9" s="7"/>
      <c r="K9" s="6"/>
      <c r="L9" s="1"/>
      <c r="M9" s="7"/>
      <c r="N9" s="6"/>
      <c r="O9" s="1"/>
      <c r="P9" s="7"/>
      <c r="Q9" s="54"/>
      <c r="R9" s="56"/>
      <c r="S9" s="8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</row>
    <row r="10" spans="1:35" ht="14" thickBot="1">
      <c r="A10" s="34" t="s">
        <v>117</v>
      </c>
      <c r="B10" s="35">
        <f>B6-B8</f>
        <v>5000</v>
      </c>
      <c r="C10" s="32">
        <f t="shared" ref="C10:S10" si="0">C6-C8</f>
        <v>10000</v>
      </c>
      <c r="D10" s="36">
        <f>D6-D8</f>
        <v>-19810.239999999998</v>
      </c>
      <c r="E10" s="35">
        <f t="shared" si="0"/>
        <v>9000</v>
      </c>
      <c r="F10" s="32">
        <f t="shared" si="0"/>
        <v>30000</v>
      </c>
      <c r="G10" s="36">
        <f t="shared" si="0"/>
        <v>1934.6200000000026</v>
      </c>
      <c r="H10" s="35">
        <f t="shared" si="0"/>
        <v>15000</v>
      </c>
      <c r="I10" s="32">
        <f t="shared" si="0"/>
        <v>30000</v>
      </c>
      <c r="J10" s="36">
        <f t="shared" si="0"/>
        <v>34135</v>
      </c>
      <c r="K10" s="35">
        <f t="shared" si="0"/>
        <v>15000</v>
      </c>
      <c r="L10" s="32">
        <f t="shared" si="0"/>
        <v>25000</v>
      </c>
      <c r="M10" s="36">
        <f t="shared" si="0"/>
        <v>-54955.82</v>
      </c>
      <c r="N10" s="35">
        <f t="shared" si="0"/>
        <v>20000</v>
      </c>
      <c r="O10" s="32">
        <f t="shared" si="0"/>
        <v>20000</v>
      </c>
      <c r="P10" s="36">
        <f t="shared" si="0"/>
        <v>-22818.570000000007</v>
      </c>
      <c r="Q10" s="32">
        <f t="shared" si="0"/>
        <v>59000</v>
      </c>
      <c r="R10" s="32">
        <f t="shared" si="0"/>
        <v>105000</v>
      </c>
      <c r="S10" s="36">
        <f t="shared" si="0"/>
        <v>-41704.770000000019</v>
      </c>
      <c r="U10" s="102">
        <f>U6-U8</f>
        <v>-10096.99</v>
      </c>
      <c r="V10" s="102">
        <f t="shared" ref="V10:AI10" si="1">V6-V8</f>
        <v>-3741</v>
      </c>
      <c r="W10" s="102">
        <f t="shared" si="1"/>
        <v>-5972.25</v>
      </c>
      <c r="X10" s="102">
        <f t="shared" si="1"/>
        <v>7366</v>
      </c>
      <c r="Y10" s="102">
        <f t="shared" si="1"/>
        <v>-5438</v>
      </c>
      <c r="Z10" s="102">
        <f t="shared" si="1"/>
        <v>6.6200000000008004</v>
      </c>
      <c r="AA10" s="102">
        <f t="shared" si="1"/>
        <v>881</v>
      </c>
      <c r="AB10" s="102">
        <f t="shared" si="1"/>
        <v>13185</v>
      </c>
      <c r="AC10" s="102">
        <f t="shared" si="1"/>
        <v>20069</v>
      </c>
      <c r="AD10" s="102">
        <f t="shared" si="1"/>
        <v>-29074.52</v>
      </c>
      <c r="AE10" s="102">
        <f t="shared" si="1"/>
        <v>-14207.77</v>
      </c>
      <c r="AF10" s="102">
        <f t="shared" si="1"/>
        <v>-11673.529999999999</v>
      </c>
      <c r="AG10" s="102">
        <f t="shared" si="1"/>
        <v>2321.5800000000017</v>
      </c>
      <c r="AH10" s="102">
        <f t="shared" si="1"/>
        <v>181.15000000000146</v>
      </c>
      <c r="AI10" s="102">
        <f t="shared" si="1"/>
        <v>-25321.300000000003</v>
      </c>
    </row>
    <row r="11" spans="1:35">
      <c r="B11" s="8"/>
      <c r="C11" s="31"/>
      <c r="D11" s="10"/>
      <c r="E11" s="8"/>
      <c r="F11" s="9"/>
      <c r="G11" s="10"/>
      <c r="H11" s="8"/>
      <c r="I11" s="9"/>
      <c r="J11" s="10"/>
      <c r="K11" s="8"/>
      <c r="L11" s="9"/>
      <c r="M11" s="10"/>
      <c r="N11" s="8"/>
      <c r="O11" s="9"/>
      <c r="P11" s="10"/>
      <c r="Q11" s="50"/>
      <c r="R11" s="50"/>
      <c r="S11" s="10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</row>
    <row r="12" spans="1:35">
      <c r="A12" s="4" t="s">
        <v>173</v>
      </c>
      <c r="B12" s="8"/>
      <c r="C12" s="31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1"/>
      <c r="R12" s="50"/>
      <c r="S12" s="10"/>
      <c r="U12" s="99">
        <v>842</v>
      </c>
      <c r="V12" s="101">
        <v>1149</v>
      </c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</row>
    <row r="13" spans="1:35">
      <c r="B13" s="8"/>
      <c r="C13" s="31"/>
      <c r="D13" s="10"/>
      <c r="E13" s="8"/>
      <c r="F13" s="9"/>
      <c r="G13" s="10"/>
      <c r="H13" s="8"/>
      <c r="I13" s="9"/>
      <c r="J13" s="10"/>
      <c r="K13" s="8"/>
      <c r="L13" s="9"/>
      <c r="M13" s="10"/>
      <c r="N13" s="8"/>
      <c r="O13" s="9"/>
      <c r="P13" s="10"/>
      <c r="Q13" s="50"/>
      <c r="R13" s="50"/>
      <c r="S13" s="10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</row>
    <row r="14" spans="1:35">
      <c r="A14" s="73" t="s">
        <v>167</v>
      </c>
      <c r="B14" s="8"/>
      <c r="C14" s="31"/>
      <c r="D14" s="10"/>
      <c r="E14" s="8"/>
      <c r="F14" s="9"/>
      <c r="G14" s="10"/>
      <c r="H14" s="8"/>
      <c r="I14" s="9"/>
      <c r="J14" s="10"/>
      <c r="K14" s="8"/>
      <c r="L14" s="9"/>
      <c r="M14" s="10"/>
      <c r="N14" s="8"/>
      <c r="O14" s="9"/>
      <c r="P14" s="10"/>
      <c r="Q14" s="40"/>
      <c r="R14" s="40"/>
      <c r="S14" s="10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</row>
    <row r="15" spans="1:35">
      <c r="A15" s="2" t="s">
        <v>118</v>
      </c>
      <c r="B15" s="49">
        <v>13200</v>
      </c>
      <c r="C15" s="31">
        <v>13200</v>
      </c>
      <c r="D15" s="38">
        <v>2500</v>
      </c>
      <c r="E15" s="49">
        <v>13200</v>
      </c>
      <c r="F15" s="31">
        <v>13200</v>
      </c>
      <c r="G15" s="38">
        <v>2500</v>
      </c>
      <c r="H15" s="49">
        <v>16500</v>
      </c>
      <c r="I15" s="31">
        <v>16500</v>
      </c>
      <c r="J15" s="38">
        <v>2500</v>
      </c>
      <c r="K15" s="49">
        <v>16500</v>
      </c>
      <c r="L15" s="31">
        <v>16500</v>
      </c>
      <c r="M15" s="38">
        <v>2500</v>
      </c>
      <c r="N15" s="8">
        <v>19800</v>
      </c>
      <c r="O15" s="9">
        <v>19800</v>
      </c>
      <c r="P15" s="38">
        <v>2500</v>
      </c>
      <c r="Q15" s="80">
        <f>N15+K15+H15+E15</f>
        <v>66000</v>
      </c>
      <c r="R15" s="80">
        <f>O15+L15+I15+F15</f>
        <v>66000</v>
      </c>
      <c r="S15" s="88">
        <f>G15+J15+M15+P15</f>
        <v>10000</v>
      </c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</row>
    <row r="16" spans="1:35">
      <c r="A16" s="2" t="s">
        <v>168</v>
      </c>
      <c r="B16" s="8"/>
      <c r="C16" s="31"/>
      <c r="D16" s="10"/>
      <c r="E16" s="8"/>
      <c r="F16" s="9"/>
      <c r="G16" s="10"/>
      <c r="H16" s="8"/>
      <c r="I16" s="9"/>
      <c r="J16" s="10"/>
      <c r="K16" s="8"/>
      <c r="L16" s="9"/>
      <c r="M16" s="10"/>
      <c r="N16" s="8"/>
      <c r="O16" s="9"/>
      <c r="P16" s="10"/>
      <c r="Q16" s="80"/>
      <c r="R16" s="50"/>
      <c r="S16" s="10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</row>
    <row r="17" spans="1:35">
      <c r="A17" s="2" t="s">
        <v>119</v>
      </c>
      <c r="B17" s="8"/>
      <c r="C17" s="31"/>
      <c r="D17" s="38">
        <v>1200</v>
      </c>
      <c r="E17" s="8"/>
      <c r="F17" s="9"/>
      <c r="G17" s="38">
        <v>1200</v>
      </c>
      <c r="H17" s="8"/>
      <c r="I17" s="9"/>
      <c r="J17" s="38">
        <v>1200</v>
      </c>
      <c r="K17" s="8"/>
      <c r="L17" s="9"/>
      <c r="M17" s="38">
        <v>1200</v>
      </c>
      <c r="N17" s="8"/>
      <c r="O17" s="9"/>
      <c r="P17" s="38">
        <v>1200</v>
      </c>
      <c r="Q17" s="80">
        <f>N17+K17+H17+E17</f>
        <v>0</v>
      </c>
      <c r="R17" s="80">
        <f>O17+L17+I17+F17</f>
        <v>0</v>
      </c>
      <c r="S17" s="88">
        <f>G17+J17+M17+P17</f>
        <v>4800</v>
      </c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</row>
    <row r="18" spans="1:35">
      <c r="A18" s="2" t="s">
        <v>169</v>
      </c>
      <c r="B18" s="8"/>
      <c r="C18" s="31"/>
      <c r="D18" s="10"/>
      <c r="E18" s="8"/>
      <c r="F18" s="9"/>
      <c r="G18" s="10"/>
      <c r="H18" s="8"/>
      <c r="I18" s="9"/>
      <c r="J18" s="10"/>
      <c r="K18" s="8"/>
      <c r="L18" s="9"/>
      <c r="M18" s="10"/>
      <c r="N18" s="8"/>
      <c r="O18" s="9"/>
      <c r="P18" s="10"/>
      <c r="Q18" s="80"/>
      <c r="R18" s="50"/>
      <c r="S18" s="10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</row>
    <row r="19" spans="1:35">
      <c r="A19" s="3" t="s">
        <v>120</v>
      </c>
      <c r="B19" s="6"/>
      <c r="C19" s="32"/>
      <c r="D19" s="36">
        <v>1000</v>
      </c>
      <c r="E19" s="6"/>
      <c r="F19" s="1"/>
      <c r="G19" s="36">
        <v>1000</v>
      </c>
      <c r="H19" s="6"/>
      <c r="I19" s="1"/>
      <c r="J19" s="36">
        <v>1000</v>
      </c>
      <c r="K19" s="6"/>
      <c r="L19" s="1"/>
      <c r="M19" s="36">
        <v>1000</v>
      </c>
      <c r="N19" s="6"/>
      <c r="O19" s="1"/>
      <c r="P19" s="36">
        <v>1000</v>
      </c>
      <c r="Q19" s="54">
        <f>N19+K19+H19+E19</f>
        <v>0</v>
      </c>
      <c r="R19" s="54">
        <f>O19+L19+I19+F19</f>
        <v>0</v>
      </c>
      <c r="S19" s="90">
        <f>G19+J19+M19+P19</f>
        <v>4000</v>
      </c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</row>
    <row r="20" spans="1:35">
      <c r="A20" s="47" t="s">
        <v>191</v>
      </c>
      <c r="B20" s="35">
        <f>B15+B17+B19</f>
        <v>13200</v>
      </c>
      <c r="C20" s="32">
        <f t="shared" ref="C20:S20" si="2">C15+C17+C19</f>
        <v>13200</v>
      </c>
      <c r="D20" s="36">
        <f t="shared" si="2"/>
        <v>4700</v>
      </c>
      <c r="E20" s="35">
        <f t="shared" si="2"/>
        <v>13200</v>
      </c>
      <c r="F20" s="32">
        <f t="shared" si="2"/>
        <v>13200</v>
      </c>
      <c r="G20" s="36">
        <f t="shared" si="2"/>
        <v>4700</v>
      </c>
      <c r="H20" s="35">
        <f t="shared" si="2"/>
        <v>16500</v>
      </c>
      <c r="I20" s="32">
        <f t="shared" si="2"/>
        <v>16500</v>
      </c>
      <c r="J20" s="36">
        <f t="shared" si="2"/>
        <v>4700</v>
      </c>
      <c r="K20" s="35">
        <f t="shared" si="2"/>
        <v>16500</v>
      </c>
      <c r="L20" s="32">
        <f t="shared" si="2"/>
        <v>16500</v>
      </c>
      <c r="M20" s="36">
        <f t="shared" si="2"/>
        <v>4700</v>
      </c>
      <c r="N20" s="35">
        <f t="shared" si="2"/>
        <v>19800</v>
      </c>
      <c r="O20" s="32">
        <f t="shared" si="2"/>
        <v>19800</v>
      </c>
      <c r="P20" s="36">
        <f t="shared" si="2"/>
        <v>4700</v>
      </c>
      <c r="Q20" s="32">
        <f t="shared" si="2"/>
        <v>66000</v>
      </c>
      <c r="R20" s="32">
        <f t="shared" si="2"/>
        <v>66000</v>
      </c>
      <c r="S20" s="36">
        <f t="shared" si="2"/>
        <v>18800</v>
      </c>
      <c r="U20" s="99">
        <v>842</v>
      </c>
      <c r="V20" s="101">
        <v>1119</v>
      </c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</row>
    <row r="21" spans="1:35">
      <c r="B21" s="8"/>
      <c r="C21" s="31"/>
      <c r="D21" s="10"/>
      <c r="E21" s="8"/>
      <c r="F21" s="9"/>
      <c r="G21" s="10"/>
      <c r="H21" s="8"/>
      <c r="I21" s="9"/>
      <c r="J21" s="10"/>
      <c r="K21" s="8"/>
      <c r="L21" s="9"/>
      <c r="M21" s="10"/>
      <c r="N21" s="8"/>
      <c r="O21" s="9"/>
      <c r="P21" s="10"/>
      <c r="Q21" s="50"/>
      <c r="R21" s="50"/>
      <c r="S21" s="10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</row>
    <row r="22" spans="1:35" ht="14" thickBot="1">
      <c r="A22" s="34" t="s">
        <v>175</v>
      </c>
      <c r="B22" s="35">
        <f>B10-B20</f>
        <v>-8200</v>
      </c>
      <c r="C22" s="32">
        <f t="shared" ref="C22:S22" si="3">C10-C20</f>
        <v>-3200</v>
      </c>
      <c r="D22" s="36"/>
      <c r="E22" s="35">
        <f t="shared" si="3"/>
        <v>-4200</v>
      </c>
      <c r="F22" s="32">
        <f t="shared" si="3"/>
        <v>16800</v>
      </c>
      <c r="G22" s="36">
        <f t="shared" si="3"/>
        <v>-2765.3799999999974</v>
      </c>
      <c r="H22" s="35">
        <f t="shared" si="3"/>
        <v>-1500</v>
      </c>
      <c r="I22" s="32">
        <f t="shared" si="3"/>
        <v>13500</v>
      </c>
      <c r="J22" s="36">
        <f t="shared" si="3"/>
        <v>29435</v>
      </c>
      <c r="K22" s="35">
        <f t="shared" si="3"/>
        <v>-1500</v>
      </c>
      <c r="L22" s="32">
        <f t="shared" si="3"/>
        <v>8500</v>
      </c>
      <c r="M22" s="36">
        <f t="shared" si="3"/>
        <v>-59655.82</v>
      </c>
      <c r="N22" s="35">
        <f t="shared" si="3"/>
        <v>200</v>
      </c>
      <c r="O22" s="32">
        <f t="shared" si="3"/>
        <v>200</v>
      </c>
      <c r="P22" s="36">
        <f t="shared" si="3"/>
        <v>-27518.570000000007</v>
      </c>
      <c r="Q22" s="56">
        <f t="shared" si="3"/>
        <v>-7000</v>
      </c>
      <c r="R22" s="56">
        <f t="shared" si="3"/>
        <v>39000</v>
      </c>
      <c r="S22" s="36">
        <f t="shared" si="3"/>
        <v>-60504.770000000019</v>
      </c>
      <c r="U22" s="104">
        <v>-10939</v>
      </c>
      <c r="V22" s="104">
        <v>-4860</v>
      </c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</row>
    <row r="23" spans="1:35" ht="14" thickBot="1">
      <c r="A23" t="s">
        <v>176</v>
      </c>
      <c r="B23" s="11">
        <v>0.42</v>
      </c>
      <c r="C23" s="31"/>
      <c r="D23" s="10"/>
      <c r="E23" s="11"/>
      <c r="F23" s="9"/>
      <c r="G23" s="10"/>
      <c r="H23" s="11"/>
      <c r="I23" s="9"/>
      <c r="J23" s="10"/>
      <c r="K23" s="11"/>
      <c r="L23" s="9"/>
      <c r="M23" s="10"/>
      <c r="N23" s="11"/>
      <c r="O23" s="9"/>
      <c r="P23" s="10"/>
      <c r="Q23" s="71"/>
      <c r="R23" s="71"/>
      <c r="S23" s="10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</row>
    <row r="24" spans="1:35" ht="26">
      <c r="A24" s="5" t="s">
        <v>132</v>
      </c>
      <c r="B24" s="8"/>
      <c r="C24" s="31"/>
      <c r="D24" s="10"/>
      <c r="E24" s="8"/>
      <c r="F24" s="9"/>
      <c r="G24" s="10"/>
      <c r="H24" s="8"/>
      <c r="I24" s="9"/>
      <c r="J24" s="10"/>
      <c r="K24" s="8"/>
      <c r="L24" s="9"/>
      <c r="M24" s="10"/>
      <c r="N24" s="8"/>
      <c r="O24" s="9"/>
      <c r="P24" s="10"/>
      <c r="Q24" s="64"/>
      <c r="R24" s="64"/>
      <c r="S24" s="95"/>
    </row>
    <row r="25" spans="1:35">
      <c r="A25" s="5"/>
      <c r="B25" s="8"/>
      <c r="C25" s="31"/>
      <c r="D25" s="10"/>
      <c r="E25" s="8"/>
      <c r="F25" s="9"/>
      <c r="G25" s="10"/>
      <c r="H25" s="8"/>
      <c r="I25" s="9"/>
      <c r="J25" s="10"/>
      <c r="K25" s="8"/>
      <c r="L25" s="9"/>
      <c r="M25" s="10"/>
      <c r="N25" s="8"/>
      <c r="O25" s="9"/>
      <c r="P25" s="10"/>
      <c r="Q25" s="82"/>
      <c r="R25" s="50"/>
      <c r="S25" s="92"/>
    </row>
    <row r="26" spans="1:35" ht="52">
      <c r="A26" s="5" t="s">
        <v>140</v>
      </c>
      <c r="B26" s="8"/>
      <c r="C26" s="31"/>
      <c r="D26" s="10"/>
      <c r="E26" s="8"/>
      <c r="F26" s="9"/>
      <c r="G26" s="10"/>
      <c r="H26" s="8"/>
      <c r="I26" s="9"/>
      <c r="J26" s="10"/>
      <c r="K26" s="8"/>
      <c r="L26" s="9"/>
      <c r="M26" s="10"/>
      <c r="N26" s="8"/>
      <c r="O26" s="9"/>
      <c r="P26" s="10"/>
      <c r="Q26" s="46"/>
      <c r="R26" s="9"/>
      <c r="S26" s="91"/>
    </row>
    <row r="27" spans="1:35">
      <c r="A27" s="5"/>
      <c r="B27" s="8"/>
      <c r="C27" s="31"/>
      <c r="D27" s="10"/>
      <c r="E27" s="8"/>
      <c r="F27" s="9"/>
      <c r="G27" s="10"/>
      <c r="H27" s="8"/>
      <c r="I27" s="9"/>
      <c r="J27" s="10"/>
      <c r="K27" s="8"/>
      <c r="L27" s="9"/>
      <c r="M27" s="10"/>
      <c r="N27" s="8"/>
      <c r="O27" s="9"/>
      <c r="P27" s="10"/>
      <c r="Q27" s="46"/>
      <c r="R27" s="9"/>
      <c r="S27" s="91"/>
    </row>
    <row r="28" spans="1:35" ht="26">
      <c r="A28" s="5" t="s">
        <v>141</v>
      </c>
      <c r="B28" s="8"/>
      <c r="C28" s="31"/>
      <c r="D28" s="10"/>
      <c r="E28" s="8"/>
      <c r="F28" s="9"/>
      <c r="G28" s="10"/>
      <c r="H28" s="8"/>
      <c r="I28" s="9"/>
      <c r="J28" s="10"/>
      <c r="K28" s="8"/>
      <c r="L28" s="9"/>
      <c r="M28" s="10"/>
      <c r="N28" s="8"/>
      <c r="O28" s="9"/>
      <c r="P28" s="10"/>
      <c r="Q28" s="46"/>
      <c r="R28" s="9"/>
      <c r="S28" s="91"/>
    </row>
    <row r="29" spans="1:35">
      <c r="A29" s="5" t="s">
        <v>142</v>
      </c>
      <c r="B29" s="11">
        <v>0.1</v>
      </c>
      <c r="C29" s="31"/>
      <c r="D29" s="10"/>
      <c r="E29" s="11"/>
      <c r="F29" s="9"/>
      <c r="G29" s="10"/>
      <c r="H29" s="11"/>
      <c r="I29" s="9"/>
      <c r="J29" s="10"/>
      <c r="K29" s="11"/>
      <c r="L29" s="9"/>
      <c r="M29" s="10"/>
      <c r="N29" s="11"/>
      <c r="O29" s="9"/>
      <c r="P29" s="10"/>
      <c r="Q29" s="82"/>
      <c r="R29" s="50"/>
      <c r="S29" s="92"/>
    </row>
    <row r="30" spans="1:35">
      <c r="A30" s="5"/>
      <c r="B30" s="8"/>
      <c r="C30" s="31"/>
      <c r="D30" s="10"/>
      <c r="E30" s="8"/>
      <c r="F30" s="9"/>
      <c r="G30" s="10"/>
      <c r="H30" s="8"/>
      <c r="I30" s="9"/>
      <c r="J30" s="10"/>
      <c r="K30" s="8"/>
      <c r="L30" s="9"/>
      <c r="M30" s="10"/>
      <c r="N30" s="8"/>
      <c r="O30" s="9"/>
      <c r="P30" s="10"/>
      <c r="Q30" s="46"/>
      <c r="R30" s="9"/>
      <c r="S30" s="91"/>
    </row>
    <row r="31" spans="1:35" ht="26">
      <c r="A31" s="24" t="s">
        <v>144</v>
      </c>
      <c r="B31" s="6"/>
      <c r="C31" s="32"/>
      <c r="D31" s="7"/>
      <c r="E31" s="6"/>
      <c r="F31" s="1"/>
      <c r="G31" s="7"/>
      <c r="H31" s="6"/>
      <c r="I31" s="1"/>
      <c r="J31" s="7"/>
      <c r="K31" s="6"/>
      <c r="L31" s="1"/>
      <c r="M31" s="7"/>
      <c r="N31" s="6"/>
      <c r="O31" s="1"/>
      <c r="P31" s="7"/>
      <c r="Q31" s="46"/>
      <c r="R31" s="9"/>
      <c r="S31" s="91"/>
    </row>
    <row r="32" spans="1:35">
      <c r="A32" s="5"/>
      <c r="B32" s="8"/>
      <c r="C32" s="31"/>
      <c r="D32" s="10"/>
      <c r="E32" s="8"/>
      <c r="F32" s="9"/>
      <c r="G32" s="10"/>
      <c r="H32" s="8"/>
      <c r="I32" s="9"/>
      <c r="J32" s="10"/>
      <c r="K32" s="8"/>
      <c r="L32" s="9"/>
      <c r="M32" s="10"/>
      <c r="N32" s="8"/>
      <c r="O32" s="9"/>
      <c r="P32" s="10"/>
      <c r="Q32" s="46"/>
      <c r="R32" s="9"/>
      <c r="S32" s="91"/>
    </row>
    <row r="33" spans="1:19">
      <c r="A33" s="25" t="s">
        <v>179</v>
      </c>
      <c r="B33" s="8"/>
      <c r="C33" s="31"/>
      <c r="D33" s="10"/>
      <c r="E33" s="8"/>
      <c r="F33" s="9"/>
      <c r="G33" s="10"/>
      <c r="H33" s="8"/>
      <c r="I33" s="9"/>
      <c r="J33" s="10"/>
      <c r="K33" s="8"/>
      <c r="L33" s="9"/>
      <c r="M33" s="10"/>
      <c r="N33" s="8"/>
      <c r="O33" s="9"/>
      <c r="P33" s="10"/>
      <c r="Q33" s="46"/>
      <c r="R33" s="9"/>
      <c r="S33" s="91"/>
    </row>
    <row r="34" spans="1:19">
      <c r="A34" s="5" t="s">
        <v>156</v>
      </c>
      <c r="B34" s="16">
        <v>1</v>
      </c>
      <c r="C34" s="31"/>
      <c r="D34" s="10"/>
      <c r="E34" s="8">
        <v>1</v>
      </c>
      <c r="F34" s="9"/>
      <c r="G34" s="10"/>
      <c r="H34" s="8"/>
      <c r="I34" s="9"/>
      <c r="J34" s="10"/>
      <c r="K34" s="8"/>
      <c r="L34" s="9"/>
      <c r="M34" s="10"/>
      <c r="N34" s="8"/>
      <c r="O34" s="9"/>
      <c r="P34" s="10"/>
      <c r="Q34" s="46"/>
      <c r="R34" s="9"/>
      <c r="S34" s="91"/>
    </row>
    <row r="35" spans="1:19">
      <c r="A35" s="5" t="s">
        <v>157</v>
      </c>
      <c r="B35" s="16"/>
      <c r="C35" s="31"/>
      <c r="D35" s="10"/>
      <c r="E35" s="8">
        <v>1</v>
      </c>
      <c r="F35" s="9"/>
      <c r="G35" s="10"/>
      <c r="H35" s="8"/>
      <c r="I35" s="9"/>
      <c r="J35" s="10"/>
      <c r="K35" s="8"/>
      <c r="L35" s="9"/>
      <c r="M35" s="10"/>
      <c r="N35" s="8"/>
      <c r="O35" s="9"/>
      <c r="P35" s="10"/>
      <c r="Q35" s="46"/>
      <c r="R35" s="9"/>
      <c r="S35" s="87"/>
    </row>
    <row r="36" spans="1:19">
      <c r="A36" s="5" t="s">
        <v>158</v>
      </c>
      <c r="B36" s="16">
        <v>1</v>
      </c>
      <c r="C36" s="31"/>
      <c r="D36" s="10"/>
      <c r="E36" s="8"/>
      <c r="F36" s="9"/>
      <c r="G36" s="10"/>
      <c r="H36" s="8"/>
      <c r="I36" s="9"/>
      <c r="J36" s="10"/>
      <c r="K36" s="8"/>
      <c r="L36" s="9"/>
      <c r="M36" s="10"/>
      <c r="N36" s="8"/>
      <c r="O36" s="9"/>
      <c r="P36" s="10"/>
      <c r="Q36" s="46"/>
      <c r="R36" s="9"/>
      <c r="S36" s="87"/>
    </row>
    <row r="37" spans="1:19">
      <c r="A37" s="5" t="s">
        <v>180</v>
      </c>
      <c r="B37" s="16"/>
      <c r="C37" s="31"/>
      <c r="D37" s="10"/>
      <c r="E37" s="8">
        <v>1</v>
      </c>
      <c r="F37" s="9"/>
      <c r="G37" s="10"/>
      <c r="H37" s="8"/>
      <c r="I37" s="9"/>
      <c r="J37" s="10"/>
      <c r="K37" s="8"/>
      <c r="L37" s="9"/>
      <c r="M37" s="10"/>
      <c r="N37" s="8"/>
      <c r="O37" s="9"/>
      <c r="P37" s="10"/>
      <c r="Q37" s="46"/>
      <c r="R37" s="9"/>
      <c r="S37" s="87"/>
    </row>
    <row r="38" spans="1:19">
      <c r="A38" t="s">
        <v>160</v>
      </c>
      <c r="B38" s="16"/>
      <c r="C38" s="31"/>
      <c r="D38" s="10"/>
      <c r="E38" s="8">
        <v>1</v>
      </c>
      <c r="F38" s="9"/>
      <c r="G38" s="10"/>
      <c r="H38" s="8"/>
      <c r="I38" s="9"/>
      <c r="J38" s="10"/>
      <c r="K38" s="8"/>
      <c r="L38" s="9"/>
      <c r="M38" s="10"/>
      <c r="N38" s="8"/>
      <c r="O38" s="9"/>
      <c r="P38" s="10"/>
      <c r="Q38" s="46"/>
      <c r="R38" s="9"/>
      <c r="S38" s="87"/>
    </row>
    <row r="39" spans="1:19">
      <c r="A39" t="s">
        <v>161</v>
      </c>
      <c r="B39" s="16"/>
      <c r="C39" s="31"/>
      <c r="D39" s="10"/>
      <c r="E39" s="8"/>
      <c r="F39" s="9"/>
      <c r="G39" s="10"/>
      <c r="H39" s="8"/>
      <c r="I39" s="9"/>
      <c r="J39" s="10"/>
      <c r="K39" s="8"/>
      <c r="L39" s="9"/>
      <c r="M39" s="10"/>
      <c r="N39" s="8"/>
      <c r="O39" s="9"/>
      <c r="P39" s="10"/>
      <c r="Q39" s="46"/>
      <c r="R39" s="9"/>
      <c r="S39" s="87"/>
    </row>
    <row r="40" spans="1:19">
      <c r="A40" t="s">
        <v>162</v>
      </c>
      <c r="B40" s="16">
        <v>1</v>
      </c>
      <c r="C40" s="31"/>
      <c r="D40" s="10"/>
      <c r="E40" s="8"/>
      <c r="F40" s="9"/>
      <c r="G40" s="10"/>
      <c r="H40" s="8"/>
      <c r="I40" s="9"/>
      <c r="J40" s="10"/>
      <c r="K40" s="8"/>
      <c r="L40" s="9"/>
      <c r="M40" s="10"/>
      <c r="N40" s="8"/>
      <c r="O40" s="9"/>
      <c r="P40" s="10"/>
      <c r="Q40" s="83"/>
      <c r="R40" s="1"/>
      <c r="S40" s="89"/>
    </row>
    <row r="41" spans="1:19">
      <c r="A41" t="s">
        <v>163</v>
      </c>
      <c r="B41" s="16"/>
      <c r="C41" s="31"/>
      <c r="D41" s="10"/>
      <c r="E41" s="8"/>
      <c r="F41" s="9"/>
      <c r="G41" s="10"/>
      <c r="H41" s="8"/>
      <c r="I41" s="9"/>
      <c r="J41" s="10"/>
      <c r="K41" s="8"/>
      <c r="L41" s="9"/>
      <c r="M41" s="10"/>
      <c r="N41" s="8"/>
      <c r="O41" s="9"/>
      <c r="P41" s="10"/>
      <c r="Q41" s="46"/>
      <c r="R41" s="9"/>
      <c r="S41" s="87"/>
    </row>
    <row r="42" spans="1:19">
      <c r="A42" t="s">
        <v>87</v>
      </c>
      <c r="B42" s="8"/>
      <c r="C42" s="31"/>
      <c r="D42" s="10"/>
      <c r="E42" s="8">
        <v>1</v>
      </c>
      <c r="F42" s="9"/>
      <c r="G42" s="10"/>
      <c r="H42" s="8"/>
      <c r="I42" s="9"/>
      <c r="J42" s="10"/>
      <c r="K42" s="8"/>
      <c r="L42" s="9"/>
      <c r="M42" s="10"/>
      <c r="N42" s="8"/>
      <c r="O42" s="9"/>
      <c r="P42" s="10"/>
      <c r="Q42" s="82"/>
      <c r="R42" s="50"/>
      <c r="S42" s="92"/>
    </row>
    <row r="43" spans="1:19">
      <c r="A43" t="s">
        <v>181</v>
      </c>
      <c r="B43" s="8"/>
      <c r="C43" s="31"/>
      <c r="D43" s="10"/>
      <c r="E43" s="8">
        <v>1</v>
      </c>
      <c r="F43" s="9"/>
      <c r="G43" s="10"/>
      <c r="H43" s="8"/>
      <c r="I43" s="9"/>
      <c r="J43" s="10"/>
      <c r="K43" s="8"/>
      <c r="L43" s="9"/>
      <c r="M43" s="10"/>
      <c r="N43" s="8"/>
      <c r="O43" s="9"/>
      <c r="P43" s="10"/>
      <c r="Q43" s="1"/>
      <c r="R43" s="1"/>
      <c r="S43" s="89"/>
    </row>
    <row r="44" spans="1:19" ht="14" thickBot="1">
      <c r="B44" s="12"/>
      <c r="C44" s="33"/>
      <c r="D44" s="14"/>
      <c r="E44" s="12"/>
      <c r="F44" s="13"/>
      <c r="G44" s="14"/>
      <c r="H44" s="12"/>
      <c r="I44" s="13"/>
      <c r="J44" s="14"/>
      <c r="K44" s="12"/>
      <c r="L44" s="13"/>
      <c r="M44" s="14"/>
      <c r="N44" s="12"/>
      <c r="O44" s="13"/>
      <c r="P44" s="14"/>
      <c r="Q44" s="9"/>
      <c r="R44" s="9"/>
      <c r="S44" s="87"/>
    </row>
    <row r="45" spans="1:19">
      <c r="Q45" s="24"/>
      <c r="R45" s="1"/>
      <c r="S45" s="89"/>
    </row>
    <row r="46" spans="1:19">
      <c r="Q46" s="50"/>
      <c r="R46" s="50"/>
      <c r="S46" s="92"/>
    </row>
    <row r="47" spans="1:19">
      <c r="Q47" s="1"/>
      <c r="R47" s="56"/>
      <c r="S47" s="93"/>
    </row>
    <row r="48" spans="1:19">
      <c r="Q48" s="50"/>
      <c r="R48" s="50"/>
      <c r="S48" s="92"/>
    </row>
    <row r="49" spans="17:19">
      <c r="Q49" s="1"/>
      <c r="R49" s="1"/>
      <c r="S49" s="89"/>
    </row>
    <row r="50" spans="17:19">
      <c r="Q50" s="9"/>
      <c r="R50" s="9"/>
      <c r="S50" s="87"/>
    </row>
    <row r="51" spans="17:19">
      <c r="Q51" s="9"/>
      <c r="R51" s="9"/>
      <c r="S51" s="87"/>
    </row>
    <row r="52" spans="17:19">
      <c r="Q52" s="9"/>
      <c r="R52" s="9"/>
      <c r="S52" s="87"/>
    </row>
    <row r="53" spans="17:19">
      <c r="Q53" s="9"/>
      <c r="R53" s="9"/>
      <c r="S53" s="87"/>
    </row>
    <row r="54" spans="17:19">
      <c r="Q54" s="9"/>
      <c r="R54" s="9"/>
      <c r="S54" s="87"/>
    </row>
    <row r="55" spans="17:19">
      <c r="Q55" s="9"/>
      <c r="R55" s="9"/>
      <c r="S55" s="87"/>
    </row>
    <row r="56" spans="17:19">
      <c r="Q56" s="9"/>
      <c r="R56" s="9"/>
      <c r="S56" s="87"/>
    </row>
    <row r="57" spans="17:19">
      <c r="Q57" s="9"/>
      <c r="R57" s="9"/>
      <c r="S57" s="87"/>
    </row>
    <row r="58" spans="17:19">
      <c r="Q58" s="9"/>
      <c r="R58" s="9"/>
      <c r="S58" s="87"/>
    </row>
    <row r="59" spans="17:19">
      <c r="Q59" s="9"/>
      <c r="R59" s="9"/>
      <c r="S59" s="87"/>
    </row>
    <row r="60" spans="17:19">
      <c r="Q60" s="9"/>
      <c r="R60" s="9"/>
      <c r="S60" s="87"/>
    </row>
    <row r="61" spans="17:19">
      <c r="Q61" s="9"/>
      <c r="R61" s="9"/>
      <c r="S61" s="87"/>
    </row>
    <row r="62" spans="17:19" ht="14" thickBot="1">
      <c r="Q62" s="13"/>
      <c r="R62" s="13"/>
      <c r="S62" s="96"/>
    </row>
  </sheetData>
  <printOptions gridLines="1" gridLinesSet="0"/>
  <pageMargins left="0.75" right="0.75" top="1" bottom="1" header="0.5" footer="0.5"/>
  <pageSetup paperSize="0" firstPageNumber="5" orientation="landscape" useFirstPageNumber="1" horizontalDpi="4294967292" verticalDpi="4294967292"/>
  <headerFooter>
    <oddHeader>&amp;A</oddHeader>
    <oddFooter>&amp;L&amp;F   &amp;A&amp;C&amp;D&amp;T]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showZeros="0" workbookViewId="0">
      <pane xSplit="1" ySplit="4" topLeftCell="B5" activePane="bottomRight" state="frozenSplit"/>
      <selection pane="topRight"/>
      <selection pane="bottomLeft" activeCell="A4" sqref="A4"/>
      <selection pane="bottomRight" activeCell="AI8" sqref="AI8"/>
    </sheetView>
  </sheetViews>
  <sheetFormatPr baseColWidth="10" defaultColWidth="11.42578125" defaultRowHeight="13" x14ac:dyDescent="0"/>
  <cols>
    <col min="1" max="1" width="36.42578125" customWidth="1"/>
    <col min="2" max="2" width="9.28515625" customWidth="1"/>
    <col min="3" max="3" width="9.42578125" customWidth="1"/>
    <col min="4" max="5" width="9.28515625" customWidth="1"/>
    <col min="6" max="6" width="9.42578125" customWidth="1"/>
    <col min="7" max="7" width="10.42578125" customWidth="1"/>
    <col min="8" max="8" width="9.28515625" customWidth="1"/>
    <col min="9" max="9" width="10.85546875" customWidth="1"/>
    <col min="10" max="10" width="9" customWidth="1"/>
    <col min="11" max="11" width="9.28515625" customWidth="1"/>
    <col min="12" max="12" width="10.85546875" customWidth="1"/>
    <col min="13" max="13" width="12.140625" customWidth="1"/>
    <col min="14" max="14" width="9.28515625" customWidth="1"/>
    <col min="15" max="15" width="10.85546875" customWidth="1"/>
    <col min="16" max="18" width="11.85546875" customWidth="1"/>
  </cols>
  <sheetData>
    <row r="1" spans="1:35" ht="14" thickBot="1">
      <c r="A1" t="s">
        <v>192</v>
      </c>
      <c r="U1" s="97"/>
      <c r="V1" s="97"/>
      <c r="W1" s="97"/>
      <c r="X1" s="97"/>
      <c r="Y1" s="97"/>
      <c r="Z1" s="97"/>
      <c r="AA1" s="97"/>
      <c r="AB1" s="97"/>
      <c r="AC1" s="97"/>
    </row>
    <row r="2" spans="1:35">
      <c r="B2" s="15">
        <v>1996</v>
      </c>
      <c r="C2" s="18">
        <v>1996</v>
      </c>
      <c r="D2" s="19">
        <v>1996</v>
      </c>
      <c r="E2" s="15">
        <v>1997</v>
      </c>
      <c r="F2" s="18">
        <v>1997</v>
      </c>
      <c r="G2" s="19">
        <v>1997</v>
      </c>
      <c r="H2" s="15">
        <v>1997</v>
      </c>
      <c r="I2" s="18">
        <v>1997</v>
      </c>
      <c r="J2" s="19">
        <v>1997</v>
      </c>
      <c r="K2" s="15">
        <v>1997</v>
      </c>
      <c r="L2" s="18">
        <v>1997</v>
      </c>
      <c r="M2" s="19">
        <v>1997</v>
      </c>
      <c r="N2" s="15">
        <v>1997</v>
      </c>
      <c r="O2" s="18">
        <v>1997</v>
      </c>
      <c r="P2" s="19">
        <v>1997</v>
      </c>
      <c r="Q2" s="18">
        <v>1997</v>
      </c>
      <c r="R2" s="18">
        <v>1997</v>
      </c>
      <c r="S2" s="84">
        <v>1997</v>
      </c>
      <c r="U2" s="98" t="s">
        <v>103</v>
      </c>
      <c r="V2" s="98" t="s">
        <v>103</v>
      </c>
      <c r="W2" s="98" t="s">
        <v>103</v>
      </c>
      <c r="X2" s="98" t="s">
        <v>103</v>
      </c>
      <c r="Y2" s="98" t="s">
        <v>103</v>
      </c>
      <c r="Z2" s="98" t="s">
        <v>103</v>
      </c>
      <c r="AA2" s="98" t="s">
        <v>103</v>
      </c>
      <c r="AB2" s="98" t="s">
        <v>103</v>
      </c>
      <c r="AC2" s="98" t="s">
        <v>103</v>
      </c>
      <c r="AD2" s="98" t="s">
        <v>103</v>
      </c>
      <c r="AE2" s="98" t="s">
        <v>103</v>
      </c>
      <c r="AF2" s="98" t="s">
        <v>103</v>
      </c>
      <c r="AG2" s="98"/>
      <c r="AH2" s="98"/>
      <c r="AI2" s="98"/>
    </row>
    <row r="3" spans="1:35">
      <c r="B3" s="16" t="s">
        <v>104</v>
      </c>
      <c r="C3" s="20" t="s">
        <v>104</v>
      </c>
      <c r="D3" s="21" t="s">
        <v>104</v>
      </c>
      <c r="E3" s="16" t="s">
        <v>105</v>
      </c>
      <c r="F3" s="20" t="s">
        <v>105</v>
      </c>
      <c r="G3" s="21" t="s">
        <v>105</v>
      </c>
      <c r="H3" s="16" t="s">
        <v>106</v>
      </c>
      <c r="I3" s="20" t="s">
        <v>106</v>
      </c>
      <c r="J3" s="21" t="s">
        <v>106</v>
      </c>
      <c r="K3" s="16" t="s">
        <v>107</v>
      </c>
      <c r="L3" s="20" t="s">
        <v>108</v>
      </c>
      <c r="M3" s="21" t="s">
        <v>108</v>
      </c>
      <c r="N3" s="16" t="s">
        <v>104</v>
      </c>
      <c r="O3" s="20" t="s">
        <v>104</v>
      </c>
      <c r="P3" s="21" t="s">
        <v>104</v>
      </c>
      <c r="Q3" s="20" t="s">
        <v>109</v>
      </c>
      <c r="R3" s="20" t="s">
        <v>109</v>
      </c>
      <c r="S3" s="85" t="s">
        <v>109</v>
      </c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</row>
    <row r="4" spans="1:35">
      <c r="A4" s="1"/>
      <c r="B4" s="17" t="s">
        <v>111</v>
      </c>
      <c r="C4" s="22" t="s">
        <v>112</v>
      </c>
      <c r="D4" s="23" t="s">
        <v>103</v>
      </c>
      <c r="E4" s="17" t="s">
        <v>111</v>
      </c>
      <c r="F4" s="22" t="s">
        <v>112</v>
      </c>
      <c r="G4" s="23" t="s">
        <v>103</v>
      </c>
      <c r="H4" s="17" t="s">
        <v>111</v>
      </c>
      <c r="I4" s="22" t="s">
        <v>112</v>
      </c>
      <c r="J4" s="23" t="s">
        <v>103</v>
      </c>
      <c r="K4" s="17" t="s">
        <v>111</v>
      </c>
      <c r="L4" s="22" t="s">
        <v>112</v>
      </c>
      <c r="M4" s="23" t="s">
        <v>103</v>
      </c>
      <c r="N4" s="17" t="s">
        <v>111</v>
      </c>
      <c r="O4" s="22" t="s">
        <v>112</v>
      </c>
      <c r="P4" s="23" t="s">
        <v>103</v>
      </c>
      <c r="Q4" s="22" t="s">
        <v>111</v>
      </c>
      <c r="R4" s="22" t="s">
        <v>112</v>
      </c>
      <c r="S4" s="86" t="s">
        <v>103</v>
      </c>
      <c r="U4" s="100">
        <v>33877</v>
      </c>
      <c r="V4" s="100">
        <v>33908</v>
      </c>
      <c r="W4" s="100">
        <v>33938</v>
      </c>
      <c r="X4" s="100">
        <v>33969</v>
      </c>
      <c r="Y4" s="100">
        <v>34000</v>
      </c>
      <c r="Z4" s="100">
        <v>34028</v>
      </c>
      <c r="AA4" s="100">
        <v>34059</v>
      </c>
      <c r="AB4" s="100">
        <v>34089</v>
      </c>
      <c r="AC4" s="100">
        <v>34120</v>
      </c>
      <c r="AD4" s="100">
        <v>34150</v>
      </c>
      <c r="AE4" s="100">
        <v>34181</v>
      </c>
      <c r="AF4" s="100">
        <v>34212</v>
      </c>
      <c r="AG4" s="100">
        <v>34242</v>
      </c>
      <c r="AH4" s="100">
        <v>34273</v>
      </c>
      <c r="AI4" s="100">
        <v>34303</v>
      </c>
    </row>
    <row r="5" spans="1:35">
      <c r="B5" s="8"/>
      <c r="C5" s="9"/>
      <c r="D5" s="10"/>
      <c r="E5" s="8"/>
      <c r="F5" s="9"/>
      <c r="G5" s="10"/>
      <c r="H5" s="8"/>
      <c r="I5" s="9"/>
      <c r="J5" s="10"/>
      <c r="K5" s="8"/>
      <c r="L5" s="9"/>
      <c r="M5" s="10"/>
      <c r="N5" s="8"/>
      <c r="O5" s="9"/>
      <c r="P5" s="10"/>
      <c r="Q5" s="50"/>
      <c r="R5" s="50"/>
      <c r="S5" s="87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</row>
    <row r="6" spans="1:35">
      <c r="A6" s="37" t="s">
        <v>114</v>
      </c>
      <c r="B6" s="26"/>
      <c r="C6" s="31"/>
      <c r="D6" s="38">
        <f>U6+V6+W6</f>
        <v>0</v>
      </c>
      <c r="E6" s="26"/>
      <c r="F6" s="31"/>
      <c r="G6" s="38">
        <f>X6+Y6+Z6</f>
        <v>11629.77</v>
      </c>
      <c r="H6" s="26"/>
      <c r="I6" s="31"/>
      <c r="J6" s="38">
        <f>AA6+AB6+AC6</f>
        <v>52670.450000000004</v>
      </c>
      <c r="K6" s="26"/>
      <c r="L6" s="31"/>
      <c r="M6" s="38">
        <f>AD6+AE6+AF6</f>
        <v>184.24999999999989</v>
      </c>
      <c r="N6" s="26"/>
      <c r="O6" s="31"/>
      <c r="P6" s="38">
        <f>AG6+AH6+AI6</f>
        <v>-20804.75</v>
      </c>
      <c r="Q6" s="80">
        <f>E6+H6+K6+N6</f>
        <v>0</v>
      </c>
      <c r="R6" s="50">
        <f>F6+I6+L6+O6</f>
        <v>0</v>
      </c>
      <c r="S6" s="88">
        <f>G6+J6+M6+P6</f>
        <v>43679.72</v>
      </c>
      <c r="U6" s="101"/>
      <c r="V6" s="101"/>
      <c r="W6" s="101"/>
      <c r="X6" s="101">
        <v>3540.55</v>
      </c>
      <c r="Y6" s="101">
        <v>3618.6</v>
      </c>
      <c r="Z6" s="101">
        <v>4470.62</v>
      </c>
      <c r="AA6" s="101">
        <v>3684.76</v>
      </c>
      <c r="AB6" s="101">
        <v>45399.72</v>
      </c>
      <c r="AC6" s="101">
        <v>3585.97</v>
      </c>
      <c r="AD6" s="101">
        <v>3546.39</v>
      </c>
      <c r="AE6" s="101">
        <v>-3446</v>
      </c>
      <c r="AF6" s="101">
        <v>83.86</v>
      </c>
      <c r="AG6" s="101">
        <v>-20966.84</v>
      </c>
      <c r="AH6" s="101">
        <v>102.86</v>
      </c>
      <c r="AI6" s="101">
        <v>59.23</v>
      </c>
    </row>
    <row r="7" spans="1:35">
      <c r="A7" s="2" t="s">
        <v>115</v>
      </c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0"/>
      <c r="R7" s="50"/>
      <c r="S7" s="87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</row>
    <row r="8" spans="1:35">
      <c r="A8" s="37" t="s">
        <v>116</v>
      </c>
      <c r="B8" s="26"/>
      <c r="C8" s="31"/>
      <c r="D8" s="38">
        <f>U8+V8+W8</f>
        <v>0</v>
      </c>
      <c r="E8" s="26"/>
      <c r="F8" s="31"/>
      <c r="G8" s="38">
        <f>X8+Y8+Z8</f>
        <v>203384.39</v>
      </c>
      <c r="H8" s="26"/>
      <c r="I8" s="31"/>
      <c r="J8" s="38">
        <f>AA8+AB8+AC8</f>
        <v>201041.4</v>
      </c>
      <c r="K8" s="26"/>
      <c r="L8" s="31"/>
      <c r="M8" s="38">
        <f>AD8+AE8+AF8</f>
        <v>210334.67000000004</v>
      </c>
      <c r="N8" s="26"/>
      <c r="O8" s="31"/>
      <c r="P8" s="38">
        <f>AG8+AH8+AI8</f>
        <v>225106.66999999998</v>
      </c>
      <c r="Q8" s="80">
        <f>E8+H8+K8+N8</f>
        <v>0</v>
      </c>
      <c r="R8" s="80">
        <f>F8+I8+L8+O8</f>
        <v>0</v>
      </c>
      <c r="S8" s="88">
        <f>G8+J8+M8+P8</f>
        <v>839867.13000000012</v>
      </c>
      <c r="U8" s="101"/>
      <c r="V8" s="101"/>
      <c r="W8" s="101"/>
      <c r="X8" s="101">
        <v>74993.78</v>
      </c>
      <c r="Y8" s="101">
        <v>66504.3</v>
      </c>
      <c r="Z8" s="101">
        <v>61886.31</v>
      </c>
      <c r="AA8" s="101">
        <v>41645.370000000003</v>
      </c>
      <c r="AB8" s="101">
        <v>84602.81</v>
      </c>
      <c r="AC8" s="101">
        <v>74793.22</v>
      </c>
      <c r="AD8" s="101">
        <v>60349.440000000002</v>
      </c>
      <c r="AE8" s="101">
        <v>79764.960000000006</v>
      </c>
      <c r="AF8" s="101">
        <v>70220.27</v>
      </c>
      <c r="AG8" s="101">
        <v>85755.29</v>
      </c>
      <c r="AH8" s="101">
        <v>72814.240000000005</v>
      </c>
      <c r="AI8" s="101">
        <v>66537.14</v>
      </c>
    </row>
    <row r="9" spans="1:35" ht="14" thickBot="1">
      <c r="A9" s="3"/>
      <c r="B9" s="6"/>
      <c r="C9" s="1"/>
      <c r="D9" s="7"/>
      <c r="E9" s="6"/>
      <c r="F9" s="1"/>
      <c r="G9" s="7"/>
      <c r="H9" s="6"/>
      <c r="I9" s="1"/>
      <c r="J9" s="7"/>
      <c r="K9" s="6"/>
      <c r="L9" s="1"/>
      <c r="M9" s="7"/>
      <c r="N9" s="6"/>
      <c r="O9" s="1"/>
      <c r="P9" s="7"/>
      <c r="Q9" s="54"/>
      <c r="R9" s="50"/>
      <c r="S9" s="8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</row>
    <row r="10" spans="1:35" ht="14" thickBot="1">
      <c r="A10" s="34" t="s">
        <v>117</v>
      </c>
      <c r="B10" s="35">
        <f>B6-B8</f>
        <v>0</v>
      </c>
      <c r="C10" s="32">
        <f t="shared" ref="C10:R10" si="0">C6-C8</f>
        <v>0</v>
      </c>
      <c r="D10" s="36">
        <f t="shared" si="0"/>
        <v>0</v>
      </c>
      <c r="E10" s="35">
        <f t="shared" si="0"/>
        <v>0</v>
      </c>
      <c r="F10" s="32">
        <f t="shared" si="0"/>
        <v>0</v>
      </c>
      <c r="G10" s="36">
        <f t="shared" si="0"/>
        <v>-191754.62000000002</v>
      </c>
      <c r="H10" s="35">
        <f t="shared" si="0"/>
        <v>0</v>
      </c>
      <c r="I10" s="32">
        <f t="shared" si="0"/>
        <v>0</v>
      </c>
      <c r="J10" s="36">
        <f t="shared" si="0"/>
        <v>-148370.94999999998</v>
      </c>
      <c r="K10" s="35">
        <f t="shared" si="0"/>
        <v>0</v>
      </c>
      <c r="L10" s="32">
        <f t="shared" si="0"/>
        <v>0</v>
      </c>
      <c r="M10" s="36">
        <f t="shared" si="0"/>
        <v>-210150.42000000004</v>
      </c>
      <c r="N10" s="35">
        <f t="shared" si="0"/>
        <v>0</v>
      </c>
      <c r="O10" s="32">
        <f t="shared" si="0"/>
        <v>0</v>
      </c>
      <c r="P10" s="36">
        <f t="shared" si="0"/>
        <v>-245911.41999999998</v>
      </c>
      <c r="Q10" s="32">
        <f t="shared" si="0"/>
        <v>0</v>
      </c>
      <c r="R10" s="32">
        <f t="shared" si="0"/>
        <v>0</v>
      </c>
      <c r="S10" s="90">
        <f>S6-S8</f>
        <v>-796187.41000000015</v>
      </c>
      <c r="U10" s="102">
        <f t="shared" ref="U10:AI10" si="1">U6-U8</f>
        <v>0</v>
      </c>
      <c r="V10" s="102">
        <f t="shared" si="1"/>
        <v>0</v>
      </c>
      <c r="W10" s="102">
        <f t="shared" si="1"/>
        <v>0</v>
      </c>
      <c r="X10" s="102">
        <f t="shared" si="1"/>
        <v>-71453.23</v>
      </c>
      <c r="Y10" s="102">
        <f t="shared" si="1"/>
        <v>-62885.700000000004</v>
      </c>
      <c r="Z10" s="102">
        <f t="shared" si="1"/>
        <v>-57415.689999999995</v>
      </c>
      <c r="AA10" s="102">
        <f t="shared" si="1"/>
        <v>-37960.61</v>
      </c>
      <c r="AB10" s="102">
        <f t="shared" si="1"/>
        <v>-39203.089999999997</v>
      </c>
      <c r="AC10" s="102">
        <f t="shared" si="1"/>
        <v>-71207.25</v>
      </c>
      <c r="AD10" s="102">
        <f t="shared" si="1"/>
        <v>-56803.05</v>
      </c>
      <c r="AE10" s="102">
        <f t="shared" si="1"/>
        <v>-83210.960000000006</v>
      </c>
      <c r="AF10" s="102">
        <f t="shared" si="1"/>
        <v>-70136.41</v>
      </c>
      <c r="AG10" s="102">
        <f t="shared" si="1"/>
        <v>-106722.12999999999</v>
      </c>
      <c r="AH10" s="102">
        <f t="shared" si="1"/>
        <v>-72711.38</v>
      </c>
      <c r="AI10" s="102">
        <f t="shared" si="1"/>
        <v>-66477.91</v>
      </c>
    </row>
    <row r="11" spans="1:35">
      <c r="B11" s="8"/>
      <c r="C11" s="9"/>
      <c r="D11" s="10"/>
      <c r="E11" s="8"/>
      <c r="F11" s="9"/>
      <c r="G11" s="10"/>
      <c r="H11" s="8"/>
      <c r="I11" s="9"/>
      <c r="J11" s="10"/>
      <c r="K11" s="8"/>
      <c r="L11" s="9"/>
      <c r="M11" s="10"/>
      <c r="N11" s="8"/>
      <c r="O11" s="9"/>
      <c r="P11" s="10"/>
      <c r="Q11" s="50"/>
      <c r="R11" s="50"/>
      <c r="S11" s="87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</row>
    <row r="12" spans="1:35">
      <c r="A12" s="47" t="s">
        <v>59</v>
      </c>
      <c r="B12" s="8"/>
      <c r="C12" s="9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1"/>
      <c r="R12" s="50"/>
      <c r="S12" s="87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</row>
    <row r="13" spans="1:35">
      <c r="B13" s="8"/>
      <c r="C13" s="9"/>
      <c r="D13" s="10"/>
      <c r="E13" s="8"/>
      <c r="F13" s="9"/>
      <c r="G13" s="10"/>
      <c r="H13" s="8"/>
      <c r="I13" s="9"/>
      <c r="J13" s="10"/>
      <c r="K13" s="8"/>
      <c r="L13" s="9"/>
      <c r="M13" s="10"/>
      <c r="N13" s="8"/>
      <c r="O13" s="9"/>
      <c r="P13" s="10"/>
      <c r="Q13" s="50"/>
      <c r="R13" s="50"/>
      <c r="S13" s="87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</row>
    <row r="14" spans="1:35">
      <c r="A14" s="73" t="s">
        <v>167</v>
      </c>
      <c r="B14" s="11"/>
      <c r="C14" s="40"/>
      <c r="D14" s="44"/>
      <c r="E14" s="11"/>
      <c r="F14" s="40"/>
      <c r="G14" s="44"/>
      <c r="H14" s="11"/>
      <c r="I14" s="40"/>
      <c r="J14" s="44"/>
      <c r="K14" s="11"/>
      <c r="L14" s="40"/>
      <c r="M14" s="44"/>
      <c r="N14" s="11"/>
      <c r="O14" s="40"/>
      <c r="P14" s="44"/>
      <c r="Q14" s="40"/>
      <c r="R14" s="40"/>
      <c r="S14" s="91"/>
      <c r="U14" s="103"/>
      <c r="V14" s="103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</row>
    <row r="15" spans="1:35" s="123" customFormat="1">
      <c r="A15" s="117" t="s">
        <v>118</v>
      </c>
      <c r="B15" s="118">
        <v>254273</v>
      </c>
      <c r="C15" s="119">
        <v>249187.54</v>
      </c>
      <c r="D15" s="120">
        <f>U15+V15+W15</f>
        <v>222921.58</v>
      </c>
      <c r="E15" s="118">
        <v>218000</v>
      </c>
      <c r="F15" s="119">
        <v>218000</v>
      </c>
      <c r="G15" s="120">
        <f>X15+Y15+Z15</f>
        <v>191754.62</v>
      </c>
      <c r="H15" s="118">
        <v>255000</v>
      </c>
      <c r="I15" s="119">
        <v>240000</v>
      </c>
      <c r="J15" s="120">
        <f>AA15+AB15+AC15</f>
        <v>148370.95000000001</v>
      </c>
      <c r="K15" s="118">
        <v>255000</v>
      </c>
      <c r="L15" s="119">
        <v>240000</v>
      </c>
      <c r="M15" s="120">
        <f>AD15+AE15+AF15</f>
        <v>210150.42</v>
      </c>
      <c r="N15" s="118">
        <v>255000</v>
      </c>
      <c r="O15" s="119">
        <v>240000</v>
      </c>
      <c r="P15" s="120">
        <f>AG15+AH15+AI15</f>
        <v>245911.42</v>
      </c>
      <c r="Q15" s="121">
        <f>E15+H15+K15+N15</f>
        <v>983000</v>
      </c>
      <c r="R15" s="121">
        <f>F15+I15+L15+O15</f>
        <v>938000</v>
      </c>
      <c r="S15" s="122">
        <f>G15+J15+M15+P15</f>
        <v>796187.41</v>
      </c>
      <c r="U15" s="124">
        <v>137835</v>
      </c>
      <c r="V15" s="124">
        <v>71021</v>
      </c>
      <c r="W15" s="124">
        <v>14065.58</v>
      </c>
      <c r="X15" s="182">
        <f>X8-X6</f>
        <v>71453.23</v>
      </c>
      <c r="Y15" s="182">
        <f>Y8-Y6</f>
        <v>62885.700000000004</v>
      </c>
      <c r="Z15" s="182">
        <f>Z8-Z6</f>
        <v>57415.689999999995</v>
      </c>
      <c r="AA15" s="182">
        <f>AA8-AA6</f>
        <v>37960.61</v>
      </c>
      <c r="AB15" s="182">
        <f t="shared" ref="AB15:AI15" si="2">AB8-AB6</f>
        <v>39203.089999999997</v>
      </c>
      <c r="AC15" s="182">
        <f t="shared" si="2"/>
        <v>71207.25</v>
      </c>
      <c r="AD15" s="182">
        <f t="shared" si="2"/>
        <v>56803.05</v>
      </c>
      <c r="AE15" s="182">
        <f t="shared" si="2"/>
        <v>83210.960000000006</v>
      </c>
      <c r="AF15" s="125">
        <f t="shared" si="2"/>
        <v>70136.41</v>
      </c>
      <c r="AG15" s="125">
        <f t="shared" si="2"/>
        <v>106722.12999999999</v>
      </c>
      <c r="AH15" s="125">
        <f t="shared" si="2"/>
        <v>72711.38</v>
      </c>
      <c r="AI15" s="125">
        <f t="shared" si="2"/>
        <v>66477.91</v>
      </c>
    </row>
    <row r="16" spans="1:35">
      <c r="A16" s="53" t="s">
        <v>168</v>
      </c>
      <c r="B16" s="49"/>
      <c r="C16" s="50"/>
      <c r="D16" s="51"/>
      <c r="E16" s="49"/>
      <c r="F16" s="50"/>
      <c r="G16" s="51"/>
      <c r="H16" s="49"/>
      <c r="I16" s="50"/>
      <c r="J16" s="51"/>
      <c r="K16" s="49"/>
      <c r="L16" s="50"/>
      <c r="M16" s="51"/>
      <c r="N16" s="49"/>
      <c r="O16" s="50"/>
      <c r="P16" s="51"/>
      <c r="Q16" s="80"/>
      <c r="R16" s="50"/>
      <c r="S16" s="92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</row>
    <row r="17" spans="1:35">
      <c r="A17" s="53" t="s">
        <v>119</v>
      </c>
      <c r="B17" s="49"/>
      <c r="C17" s="50"/>
      <c r="D17" s="51"/>
      <c r="E17" s="49"/>
      <c r="F17" s="50"/>
      <c r="G17" s="51"/>
      <c r="H17" s="49"/>
      <c r="I17" s="50"/>
      <c r="J17" s="51"/>
      <c r="K17" s="49"/>
      <c r="L17" s="50"/>
      <c r="M17" s="51"/>
      <c r="N17" s="49"/>
      <c r="O17" s="50"/>
      <c r="P17" s="51"/>
      <c r="Q17" s="80"/>
      <c r="R17" s="80"/>
      <c r="S17" s="92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</row>
    <row r="18" spans="1:35">
      <c r="A18" s="53" t="s">
        <v>169</v>
      </c>
      <c r="B18" s="49"/>
      <c r="C18" s="50"/>
      <c r="D18" s="51"/>
      <c r="E18" s="49"/>
      <c r="F18" s="50"/>
      <c r="G18" s="51"/>
      <c r="H18" s="49"/>
      <c r="I18" s="50"/>
      <c r="J18" s="51"/>
      <c r="K18" s="49"/>
      <c r="L18" s="50"/>
      <c r="M18" s="51"/>
      <c r="N18" s="49"/>
      <c r="O18" s="50"/>
      <c r="P18" s="51"/>
      <c r="Q18" s="80"/>
      <c r="R18" s="50"/>
      <c r="S18" s="92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</row>
    <row r="19" spans="1:35">
      <c r="A19" s="54" t="s">
        <v>193</v>
      </c>
      <c r="B19" s="55"/>
      <c r="C19" s="56"/>
      <c r="D19" s="57"/>
      <c r="E19" s="55"/>
      <c r="F19" s="56"/>
      <c r="G19" s="57"/>
      <c r="H19" s="55"/>
      <c r="I19" s="56"/>
      <c r="J19" s="57"/>
      <c r="K19" s="55"/>
      <c r="L19" s="56"/>
      <c r="M19" s="57"/>
      <c r="N19" s="55"/>
      <c r="O19" s="56"/>
      <c r="P19" s="57"/>
      <c r="Q19" s="80"/>
      <c r="R19" s="80"/>
      <c r="S19" s="93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</row>
    <row r="20" spans="1:35">
      <c r="A20" s="39" t="s">
        <v>121</v>
      </c>
      <c r="B20" s="35">
        <f>B19+B17+B15</f>
        <v>254273</v>
      </c>
      <c r="C20" s="32">
        <f t="shared" ref="C20:R20" si="3">C19+C17+C15</f>
        <v>249187.54</v>
      </c>
      <c r="D20" s="36">
        <f t="shared" si="3"/>
        <v>222921.58</v>
      </c>
      <c r="E20" s="35">
        <f>E19+E17+E15</f>
        <v>218000</v>
      </c>
      <c r="F20" s="32">
        <f t="shared" si="3"/>
        <v>218000</v>
      </c>
      <c r="G20" s="36">
        <f t="shared" si="3"/>
        <v>191754.62</v>
      </c>
      <c r="H20" s="35">
        <f>H19+H17+H15</f>
        <v>255000</v>
      </c>
      <c r="I20" s="32">
        <f t="shared" si="3"/>
        <v>240000</v>
      </c>
      <c r="J20" s="36">
        <f t="shared" si="3"/>
        <v>148370.95000000001</v>
      </c>
      <c r="K20" s="35">
        <f>K19+K17+K15</f>
        <v>255000</v>
      </c>
      <c r="L20" s="32">
        <f t="shared" si="3"/>
        <v>240000</v>
      </c>
      <c r="M20" s="36">
        <f t="shared" si="3"/>
        <v>210150.42</v>
      </c>
      <c r="N20" s="35">
        <f>N19+N17+N15</f>
        <v>255000</v>
      </c>
      <c r="O20" s="32">
        <f t="shared" si="3"/>
        <v>240000</v>
      </c>
      <c r="P20" s="36">
        <f t="shared" si="3"/>
        <v>245911.42</v>
      </c>
      <c r="Q20" s="32">
        <f t="shared" si="3"/>
        <v>983000</v>
      </c>
      <c r="R20" s="32">
        <f t="shared" si="3"/>
        <v>938000</v>
      </c>
      <c r="S20" s="90">
        <f>S19+S17+S15</f>
        <v>796187.41</v>
      </c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</row>
    <row r="21" spans="1:35">
      <c r="A21" s="53"/>
      <c r="B21" s="49"/>
      <c r="C21" s="50"/>
      <c r="D21" s="51"/>
      <c r="E21" s="49"/>
      <c r="F21" s="50"/>
      <c r="G21" s="51"/>
      <c r="H21" s="49"/>
      <c r="I21" s="50"/>
      <c r="J21" s="51"/>
      <c r="K21" s="49"/>
      <c r="L21" s="50"/>
      <c r="M21" s="51"/>
      <c r="N21" s="49"/>
      <c r="O21" s="50"/>
      <c r="P21" s="51"/>
      <c r="Q21" s="50"/>
      <c r="R21" s="50"/>
      <c r="S21" s="92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</row>
    <row r="22" spans="1:35" ht="14" thickBot="1">
      <c r="A22" s="34" t="s">
        <v>194</v>
      </c>
      <c r="B22" s="110">
        <f>B10-B20</f>
        <v>-254273</v>
      </c>
      <c r="C22" s="111">
        <f>C10-C20</f>
        <v>-249187.54</v>
      </c>
      <c r="D22" s="109">
        <f>D10-D20</f>
        <v>-222921.58</v>
      </c>
      <c r="E22" s="442">
        <f t="shared" ref="E22:S22" si="4">E15</f>
        <v>218000</v>
      </c>
      <c r="F22" s="442">
        <f t="shared" si="4"/>
        <v>218000</v>
      </c>
      <c r="G22" s="442">
        <f t="shared" si="4"/>
        <v>191754.62</v>
      </c>
      <c r="H22" s="441">
        <f t="shared" si="4"/>
        <v>255000</v>
      </c>
      <c r="I22" s="442">
        <f t="shared" si="4"/>
        <v>240000</v>
      </c>
      <c r="J22" s="442">
        <f t="shared" si="4"/>
        <v>148370.95000000001</v>
      </c>
      <c r="K22" s="441">
        <f t="shared" si="4"/>
        <v>255000</v>
      </c>
      <c r="L22" s="442">
        <f t="shared" si="4"/>
        <v>240000</v>
      </c>
      <c r="M22" s="442">
        <f t="shared" si="4"/>
        <v>210150.42</v>
      </c>
      <c r="N22" s="441">
        <f t="shared" si="4"/>
        <v>255000</v>
      </c>
      <c r="O22" s="442">
        <f t="shared" si="4"/>
        <v>240000</v>
      </c>
      <c r="P22" s="442">
        <f t="shared" si="4"/>
        <v>245911.42</v>
      </c>
      <c r="Q22" s="441">
        <f t="shared" si="4"/>
        <v>983000</v>
      </c>
      <c r="R22" s="442">
        <f t="shared" si="4"/>
        <v>938000</v>
      </c>
      <c r="S22" s="443">
        <f t="shared" si="4"/>
        <v>796187.41</v>
      </c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</row>
    <row r="23" spans="1:35" ht="14" thickBot="1">
      <c r="A23" s="67" t="s">
        <v>123</v>
      </c>
      <c r="B23" s="112"/>
      <c r="C23" s="113"/>
      <c r="D23" s="116"/>
      <c r="E23" s="112"/>
      <c r="F23" s="113"/>
      <c r="G23" s="116"/>
      <c r="H23" s="112"/>
      <c r="I23" s="113"/>
      <c r="J23" s="116"/>
      <c r="K23" s="112"/>
      <c r="L23" s="113"/>
      <c r="M23" s="116"/>
      <c r="N23" s="112"/>
      <c r="O23" s="113"/>
      <c r="P23" s="116"/>
      <c r="Q23" s="71"/>
      <c r="R23" s="71"/>
      <c r="S23" s="94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</row>
    <row r="24" spans="1:35">
      <c r="A24" s="59"/>
      <c r="B24" s="114"/>
      <c r="C24" s="115"/>
      <c r="D24" s="79"/>
      <c r="E24" s="114"/>
      <c r="F24" s="115"/>
      <c r="G24" s="79"/>
      <c r="H24" s="114"/>
      <c r="I24" s="115"/>
      <c r="J24" s="79"/>
      <c r="K24" s="114"/>
      <c r="L24" s="115"/>
      <c r="M24" s="79"/>
      <c r="N24" s="114"/>
      <c r="O24" s="115"/>
      <c r="P24" s="79"/>
      <c r="Q24" s="64"/>
      <c r="R24" s="64"/>
      <c r="S24" s="95"/>
    </row>
    <row r="25" spans="1:35">
      <c r="A25" s="59"/>
      <c r="B25" s="49"/>
      <c r="C25" s="50"/>
      <c r="D25" s="51"/>
      <c r="E25" s="49"/>
      <c r="F25" s="50"/>
      <c r="G25" s="51"/>
      <c r="H25" s="49"/>
      <c r="I25" s="50"/>
      <c r="J25" s="51"/>
      <c r="K25" s="49"/>
      <c r="L25" s="50"/>
      <c r="M25" s="51"/>
      <c r="N25" s="49"/>
      <c r="O25" s="50"/>
      <c r="P25" s="51"/>
      <c r="Q25" s="82"/>
      <c r="R25" s="50"/>
      <c r="S25" s="92"/>
    </row>
    <row r="26" spans="1:35">
      <c r="A26" t="s">
        <v>176</v>
      </c>
      <c r="B26" s="11">
        <v>0.42</v>
      </c>
      <c r="C26" s="40">
        <v>0.42</v>
      </c>
      <c r="D26" s="44">
        <v>0.42</v>
      </c>
      <c r="E26" s="11">
        <v>0.42</v>
      </c>
      <c r="F26" s="40">
        <v>0.42</v>
      </c>
      <c r="G26" s="44">
        <v>0.42</v>
      </c>
      <c r="H26" s="11">
        <v>0.42</v>
      </c>
      <c r="I26" s="40">
        <v>0.42</v>
      </c>
      <c r="J26" s="44">
        <v>0.42</v>
      </c>
      <c r="K26" s="11">
        <v>0.42</v>
      </c>
      <c r="L26" s="40">
        <v>0.42</v>
      </c>
      <c r="M26" s="44">
        <v>0.42</v>
      </c>
      <c r="N26" s="11">
        <v>0.42</v>
      </c>
      <c r="O26" s="40">
        <v>0.42</v>
      </c>
      <c r="P26" s="44">
        <v>0.42</v>
      </c>
      <c r="Q26" s="46"/>
      <c r="R26" s="9"/>
      <c r="S26" s="91"/>
    </row>
    <row r="27" spans="1:35">
      <c r="B27" s="11"/>
      <c r="C27" s="40"/>
      <c r="D27" s="44"/>
      <c r="E27" s="11"/>
      <c r="F27" s="40"/>
      <c r="G27" s="44"/>
      <c r="H27" s="11"/>
      <c r="I27" s="40"/>
      <c r="J27" s="44"/>
      <c r="K27" s="11"/>
      <c r="L27" s="40"/>
      <c r="M27" s="44"/>
      <c r="N27" s="11"/>
      <c r="O27" s="40"/>
      <c r="P27" s="44"/>
      <c r="Q27" s="46"/>
      <c r="R27" s="9"/>
      <c r="S27" s="91"/>
    </row>
    <row r="28" spans="1:35">
      <c r="B28" s="11"/>
      <c r="C28" s="40"/>
      <c r="D28" s="44"/>
      <c r="E28" s="11"/>
      <c r="F28" s="40"/>
      <c r="G28" s="44"/>
      <c r="H28" s="11"/>
      <c r="I28" s="40"/>
      <c r="J28" s="44"/>
      <c r="K28" s="11"/>
      <c r="L28" s="40"/>
      <c r="M28" s="44"/>
      <c r="N28" s="11"/>
      <c r="O28" s="40"/>
      <c r="P28" s="44"/>
      <c r="Q28" s="46"/>
      <c r="R28" s="9"/>
      <c r="S28" s="91"/>
    </row>
    <row r="29" spans="1:35">
      <c r="A29" s="58" t="s">
        <v>132</v>
      </c>
      <c r="B29" s="49">
        <f>IF(B24&lt;0,"NA",B24*(1-B26))</f>
        <v>0</v>
      </c>
      <c r="C29" s="50">
        <f t="shared" ref="C29:P29" si="5">IF(C24&lt;0,"NA",C24*(1-C26))</f>
        <v>0</v>
      </c>
      <c r="D29" s="51">
        <f t="shared" si="5"/>
        <v>0</v>
      </c>
      <c r="E29" s="49">
        <f t="shared" si="5"/>
        <v>0</v>
      </c>
      <c r="F29" s="50">
        <f t="shared" si="5"/>
        <v>0</v>
      </c>
      <c r="G29" s="51">
        <f t="shared" si="5"/>
        <v>0</v>
      </c>
      <c r="H29" s="49">
        <f t="shared" si="5"/>
        <v>0</v>
      </c>
      <c r="I29" s="50">
        <f t="shared" si="5"/>
        <v>0</v>
      </c>
      <c r="J29" s="51">
        <f t="shared" si="5"/>
        <v>0</v>
      </c>
      <c r="K29" s="49">
        <f t="shared" si="5"/>
        <v>0</v>
      </c>
      <c r="L29" s="50">
        <f t="shared" si="5"/>
        <v>0</v>
      </c>
      <c r="M29" s="51">
        <f t="shared" si="5"/>
        <v>0</v>
      </c>
      <c r="N29" s="49">
        <f t="shared" si="5"/>
        <v>0</v>
      </c>
      <c r="O29" s="50">
        <f t="shared" si="5"/>
        <v>0</v>
      </c>
      <c r="P29" s="51">
        <f t="shared" si="5"/>
        <v>0</v>
      </c>
      <c r="Q29" s="82"/>
      <c r="R29" s="50"/>
      <c r="S29" s="92"/>
    </row>
    <row r="30" spans="1:35">
      <c r="A30" s="61" t="s">
        <v>134</v>
      </c>
      <c r="B30" s="11"/>
      <c r="C30" s="40"/>
      <c r="D30" s="44"/>
      <c r="E30" s="11"/>
      <c r="F30" s="40"/>
      <c r="G30" s="44"/>
      <c r="H30" s="11"/>
      <c r="I30" s="40"/>
      <c r="J30" s="44"/>
      <c r="K30" s="11"/>
      <c r="L30" s="40"/>
      <c r="M30" s="44"/>
      <c r="N30" s="11"/>
      <c r="O30" s="40"/>
      <c r="P30" s="44"/>
      <c r="Q30" s="46"/>
      <c r="R30" s="9"/>
      <c r="S30" s="91"/>
    </row>
    <row r="31" spans="1:35">
      <c r="A31" s="2" t="s">
        <v>135</v>
      </c>
      <c r="B31" s="11"/>
      <c r="C31" s="9"/>
      <c r="D31" s="10"/>
      <c r="E31" s="11"/>
      <c r="F31" s="9"/>
      <c r="G31" s="10"/>
      <c r="H31" s="11"/>
      <c r="K31" s="11"/>
      <c r="L31" s="9"/>
      <c r="M31" s="10"/>
      <c r="N31" s="11"/>
      <c r="O31" s="9"/>
      <c r="P31" s="10"/>
      <c r="Q31" s="46"/>
      <c r="R31" s="9"/>
      <c r="S31" s="91"/>
    </row>
    <row r="32" spans="1:35">
      <c r="A32" s="2" t="s">
        <v>136</v>
      </c>
      <c r="B32" s="11"/>
      <c r="C32" s="9"/>
      <c r="D32" s="10"/>
      <c r="E32" s="11"/>
      <c r="F32" s="9"/>
      <c r="G32" s="10"/>
      <c r="H32" s="11"/>
      <c r="K32" s="11"/>
      <c r="L32" s="9"/>
      <c r="M32" s="10"/>
      <c r="N32" s="11"/>
      <c r="O32" s="9"/>
      <c r="P32" s="10"/>
      <c r="Q32" s="46"/>
      <c r="R32" s="9"/>
      <c r="S32" s="91"/>
    </row>
    <row r="33" spans="1:19">
      <c r="A33" s="2" t="s">
        <v>137</v>
      </c>
      <c r="B33" s="11"/>
      <c r="C33" s="9"/>
      <c r="D33" s="10"/>
      <c r="E33" s="11"/>
      <c r="F33" s="9"/>
      <c r="G33" s="10"/>
      <c r="H33" s="11"/>
      <c r="K33" s="11"/>
      <c r="L33" s="9"/>
      <c r="M33" s="10"/>
      <c r="N33" s="11"/>
      <c r="O33" s="9"/>
      <c r="P33" s="10"/>
      <c r="Q33" s="46"/>
      <c r="R33" s="9"/>
      <c r="S33" s="91"/>
    </row>
    <row r="34" spans="1:19">
      <c r="A34" s="62" t="s">
        <v>195</v>
      </c>
      <c r="B34" s="11"/>
      <c r="C34" s="9"/>
      <c r="D34" s="10"/>
      <c r="E34" s="11"/>
      <c r="F34" s="9"/>
      <c r="G34" s="10"/>
      <c r="H34" s="11"/>
      <c r="K34" s="11"/>
      <c r="L34" s="9"/>
      <c r="M34" s="10"/>
      <c r="N34" s="11"/>
      <c r="O34" s="9"/>
      <c r="P34" s="10"/>
      <c r="Q34" s="46"/>
      <c r="R34" s="9"/>
      <c r="S34" s="91"/>
    </row>
    <row r="35" spans="1:19" ht="39">
      <c r="A35" s="5" t="s">
        <v>140</v>
      </c>
      <c r="B35" s="8"/>
      <c r="C35" s="9"/>
      <c r="D35" s="10"/>
      <c r="E35" s="8"/>
      <c r="F35" s="9"/>
      <c r="G35" s="10"/>
      <c r="H35" s="8"/>
      <c r="I35" s="9"/>
      <c r="J35" s="10"/>
      <c r="K35" s="8"/>
      <c r="L35" s="9"/>
      <c r="M35" s="10"/>
      <c r="N35" s="8"/>
      <c r="O35" s="9"/>
      <c r="P35" s="10"/>
      <c r="Q35" s="46"/>
      <c r="R35" s="9"/>
      <c r="S35" s="87"/>
    </row>
    <row r="36" spans="1:19">
      <c r="A36" s="5"/>
      <c r="B36" s="8"/>
      <c r="C36" s="9"/>
      <c r="D36" s="10"/>
      <c r="E36" s="8"/>
      <c r="F36" s="9"/>
      <c r="G36" s="10"/>
      <c r="H36" s="8"/>
      <c r="I36" s="9"/>
      <c r="J36" s="10"/>
      <c r="K36" s="8"/>
      <c r="L36" s="9"/>
      <c r="M36" s="10"/>
      <c r="N36" s="8"/>
      <c r="O36" s="9"/>
      <c r="P36" s="10"/>
      <c r="Q36" s="46"/>
      <c r="R36" s="9"/>
      <c r="S36" s="87"/>
    </row>
    <row r="37" spans="1:19" ht="26">
      <c r="A37" s="5" t="s">
        <v>141</v>
      </c>
      <c r="B37" s="8"/>
      <c r="C37" s="9"/>
      <c r="D37" s="10"/>
      <c r="E37" s="8"/>
      <c r="F37" s="9"/>
      <c r="G37" s="10"/>
      <c r="H37" s="8"/>
      <c r="I37" s="9"/>
      <c r="J37" s="10"/>
      <c r="K37" s="8"/>
      <c r="L37" s="9"/>
      <c r="M37" s="10"/>
      <c r="N37" s="8"/>
      <c r="O37" s="9"/>
      <c r="P37" s="10"/>
      <c r="Q37" s="46"/>
      <c r="R37" s="9"/>
      <c r="S37" s="87"/>
    </row>
    <row r="38" spans="1:19">
      <c r="A38" s="5" t="s">
        <v>142</v>
      </c>
      <c r="B38" s="11"/>
      <c r="C38" s="9"/>
      <c r="D38" s="10"/>
      <c r="E38" s="11"/>
      <c r="F38" s="9"/>
      <c r="G38" s="10"/>
      <c r="H38" s="11"/>
      <c r="I38" s="9"/>
      <c r="J38" s="10"/>
      <c r="K38" s="11"/>
      <c r="L38" s="9"/>
      <c r="M38" s="10"/>
      <c r="N38" s="11"/>
      <c r="O38" s="9"/>
      <c r="P38" s="10"/>
      <c r="Q38" s="46"/>
      <c r="R38" s="9"/>
      <c r="S38" s="87"/>
    </row>
    <row r="39" spans="1:19">
      <c r="A39" s="5"/>
      <c r="B39" s="8"/>
      <c r="C39" s="9"/>
      <c r="D39" s="10"/>
      <c r="E39" s="8"/>
      <c r="F39" s="9"/>
      <c r="G39" s="10"/>
      <c r="H39" s="8"/>
      <c r="I39" s="9"/>
      <c r="J39" s="10"/>
      <c r="K39" s="8"/>
      <c r="L39" s="9"/>
      <c r="M39" s="10"/>
      <c r="N39" s="8"/>
      <c r="O39" s="9"/>
      <c r="P39" s="10"/>
      <c r="Q39" s="46"/>
      <c r="R39" s="9"/>
      <c r="S39" s="87"/>
    </row>
    <row r="40" spans="1:19" ht="26">
      <c r="A40" s="24" t="s">
        <v>144</v>
      </c>
      <c r="B40" s="6"/>
      <c r="C40" s="1"/>
      <c r="D40" s="7"/>
      <c r="E40" s="6"/>
      <c r="F40" s="1"/>
      <c r="G40" s="7"/>
      <c r="H40" s="6"/>
      <c r="I40" s="1"/>
      <c r="J40" s="7"/>
      <c r="K40" s="6"/>
      <c r="L40" s="1"/>
      <c r="M40" s="7"/>
      <c r="N40" s="6"/>
      <c r="O40" s="1"/>
      <c r="P40" s="7"/>
      <c r="Q40" s="83"/>
      <c r="R40" s="1"/>
      <c r="S40" s="89"/>
    </row>
    <row r="41" spans="1:19">
      <c r="A41" s="74" t="s">
        <v>145</v>
      </c>
      <c r="B41" s="191"/>
      <c r="C41" s="192"/>
      <c r="D41" s="193"/>
      <c r="E41" s="191"/>
      <c r="F41" s="192"/>
      <c r="G41" s="193"/>
      <c r="H41" s="191"/>
      <c r="I41" s="192"/>
      <c r="J41" s="193"/>
      <c r="K41" s="191"/>
      <c r="L41" s="192"/>
      <c r="M41" s="193"/>
      <c r="N41" s="191"/>
      <c r="O41" s="192"/>
      <c r="P41" s="193"/>
      <c r="Q41" s="194"/>
      <c r="R41" s="192"/>
      <c r="S41" s="195"/>
    </row>
    <row r="42" spans="1:19">
      <c r="A42" s="53" t="s">
        <v>196</v>
      </c>
      <c r="B42" s="49">
        <f>CAE!B15</f>
        <v>215144</v>
      </c>
      <c r="C42" s="50">
        <f>CAE!C15</f>
        <v>215144</v>
      </c>
      <c r="D42" s="51">
        <f>CAE!D15</f>
        <v>212686</v>
      </c>
      <c r="E42" s="49">
        <f>CAE!E15</f>
        <v>215144</v>
      </c>
      <c r="F42" s="50">
        <f>CAE!F15</f>
        <v>215144</v>
      </c>
      <c r="G42" s="51">
        <f>CAE!G15</f>
        <v>67697.63</v>
      </c>
      <c r="H42" s="49">
        <f>CAE!H15</f>
        <v>87296.63</v>
      </c>
      <c r="I42" s="50">
        <f>CAE!I15</f>
        <v>87296.63</v>
      </c>
      <c r="J42" s="51">
        <f>CAE!J15</f>
        <v>49490.260300000002</v>
      </c>
      <c r="K42" s="49">
        <f>CAE!K15</f>
        <v>87296.63</v>
      </c>
      <c r="L42" s="50">
        <f>CAE!L15</f>
        <v>87296.63</v>
      </c>
      <c r="M42" s="51">
        <f>CAE!M15</f>
        <v>67647.256000000008</v>
      </c>
      <c r="N42" s="49">
        <f>CAE!N15</f>
        <v>90596.63</v>
      </c>
      <c r="O42" s="50">
        <f>CAE!O15</f>
        <v>90596.63</v>
      </c>
      <c r="P42" s="51">
        <f>CAE!P15</f>
        <v>78733.166000000012</v>
      </c>
      <c r="Q42" s="82"/>
      <c r="R42" s="50"/>
      <c r="S42" s="185"/>
    </row>
    <row r="43" spans="1:19">
      <c r="A43" s="3" t="s">
        <v>197</v>
      </c>
      <c r="B43" s="78">
        <f t="shared" ref="B43:P43" si="6">B15</f>
        <v>254273</v>
      </c>
      <c r="C43" s="184">
        <f t="shared" si="6"/>
        <v>249187.54</v>
      </c>
      <c r="D43" s="130">
        <f t="shared" si="6"/>
        <v>222921.58</v>
      </c>
      <c r="E43" s="78">
        <f t="shared" si="6"/>
        <v>218000</v>
      </c>
      <c r="F43" s="184">
        <f t="shared" si="6"/>
        <v>218000</v>
      </c>
      <c r="G43" s="130">
        <f t="shared" si="6"/>
        <v>191754.62</v>
      </c>
      <c r="H43" s="184">
        <f t="shared" si="6"/>
        <v>255000</v>
      </c>
      <c r="I43" s="184">
        <f t="shared" si="6"/>
        <v>240000</v>
      </c>
      <c r="J43" s="184">
        <f t="shared" si="6"/>
        <v>148370.95000000001</v>
      </c>
      <c r="K43" s="78">
        <f t="shared" si="6"/>
        <v>255000</v>
      </c>
      <c r="L43" s="184">
        <f t="shared" si="6"/>
        <v>240000</v>
      </c>
      <c r="M43" s="130">
        <f t="shared" si="6"/>
        <v>210150.42</v>
      </c>
      <c r="N43" s="78">
        <f t="shared" si="6"/>
        <v>255000</v>
      </c>
      <c r="O43" s="184">
        <f t="shared" si="6"/>
        <v>240000</v>
      </c>
      <c r="P43" s="130">
        <f t="shared" si="6"/>
        <v>245911.42</v>
      </c>
      <c r="Q43" s="1"/>
      <c r="R43" s="1"/>
      <c r="S43" s="196"/>
    </row>
    <row r="44" spans="1:19" s="135" customFormat="1">
      <c r="A44" s="190" t="s">
        <v>198</v>
      </c>
      <c r="B44" s="200">
        <f>B42-B43</f>
        <v>-39129</v>
      </c>
      <c r="C44" s="198">
        <f t="shared" ref="C44:P44" si="7">C42-C43</f>
        <v>-34043.540000000008</v>
      </c>
      <c r="D44" s="201">
        <f t="shared" si="7"/>
        <v>-10235.579999999987</v>
      </c>
      <c r="E44" s="200">
        <f t="shared" si="7"/>
        <v>-2856</v>
      </c>
      <c r="F44" s="198">
        <f t="shared" si="7"/>
        <v>-2856</v>
      </c>
      <c r="G44" s="201">
        <f t="shared" si="7"/>
        <v>-124056.98999999999</v>
      </c>
      <c r="H44" s="198">
        <f t="shared" si="7"/>
        <v>-167703.37</v>
      </c>
      <c r="I44" s="198">
        <f t="shared" si="7"/>
        <v>-152703.37</v>
      </c>
      <c r="J44" s="198">
        <f t="shared" si="7"/>
        <v>-98880.689700000017</v>
      </c>
      <c r="K44" s="200">
        <f t="shared" si="7"/>
        <v>-167703.37</v>
      </c>
      <c r="L44" s="198">
        <f t="shared" si="7"/>
        <v>-152703.37</v>
      </c>
      <c r="M44" s="201">
        <f t="shared" si="7"/>
        <v>-142503.16399999999</v>
      </c>
      <c r="N44" s="200">
        <f t="shared" si="7"/>
        <v>-164403.37</v>
      </c>
      <c r="O44" s="198">
        <f t="shared" si="7"/>
        <v>-149403.37</v>
      </c>
      <c r="P44" s="201">
        <f t="shared" si="7"/>
        <v>-167178.25400000002</v>
      </c>
      <c r="Q44" s="197"/>
      <c r="R44" s="197"/>
      <c r="S44" s="199"/>
    </row>
    <row r="45" spans="1:19">
      <c r="A45" s="2"/>
      <c r="B45" s="49"/>
      <c r="C45" s="50"/>
      <c r="D45" s="51"/>
      <c r="E45" s="49"/>
      <c r="F45" s="50"/>
      <c r="G45" s="51"/>
      <c r="H45" s="49"/>
      <c r="I45" s="50"/>
      <c r="J45" s="51"/>
      <c r="K45" s="49"/>
      <c r="L45" s="50"/>
      <c r="M45" s="51"/>
      <c r="N45" s="49"/>
      <c r="O45" s="50"/>
      <c r="P45" s="51"/>
      <c r="Q45" s="50"/>
      <c r="R45" s="50"/>
      <c r="S45" s="92"/>
    </row>
    <row r="46" spans="1:19">
      <c r="A46" s="2"/>
      <c r="B46" s="49"/>
      <c r="C46" s="50"/>
      <c r="D46" s="51"/>
      <c r="E46" s="49"/>
      <c r="F46" s="50"/>
      <c r="G46" s="51"/>
      <c r="H46" s="49"/>
      <c r="I46" s="50"/>
      <c r="J46" s="51"/>
      <c r="K46" s="49"/>
      <c r="L46" s="50"/>
      <c r="M46" s="51"/>
      <c r="N46" s="49"/>
      <c r="O46" s="50"/>
      <c r="P46" s="51"/>
      <c r="Q46" s="50"/>
      <c r="R46" s="50"/>
      <c r="S46" s="92"/>
    </row>
    <row r="47" spans="1:19">
      <c r="A47" s="2"/>
      <c r="B47" s="49"/>
      <c r="C47" s="50"/>
      <c r="D47" s="51"/>
      <c r="E47" s="49"/>
      <c r="F47" s="50"/>
      <c r="G47" s="51"/>
      <c r="H47" s="49"/>
      <c r="I47" s="50"/>
      <c r="J47" s="51"/>
      <c r="K47" s="49"/>
      <c r="L47" s="50"/>
      <c r="M47" s="51"/>
      <c r="N47" s="49"/>
      <c r="O47" s="50"/>
      <c r="P47" s="51"/>
      <c r="Q47" s="50"/>
      <c r="R47" s="50"/>
      <c r="S47" s="92"/>
    </row>
    <row r="48" spans="1:19">
      <c r="A48" s="53"/>
      <c r="B48" s="49"/>
      <c r="C48" s="50"/>
      <c r="D48" s="51"/>
      <c r="E48" s="49"/>
      <c r="F48" s="50"/>
      <c r="G48" s="51"/>
      <c r="H48" s="49"/>
      <c r="I48" s="50"/>
      <c r="J48" s="51"/>
      <c r="K48" s="49"/>
      <c r="L48" s="50"/>
      <c r="M48" s="51"/>
      <c r="N48" s="49"/>
      <c r="O48" s="50"/>
      <c r="P48" s="51"/>
      <c r="Q48" s="50"/>
      <c r="R48" s="50"/>
      <c r="S48" s="92"/>
    </row>
    <row r="49" spans="1:19">
      <c r="A49" s="24"/>
      <c r="B49" s="55"/>
      <c r="C49" s="56"/>
      <c r="D49" s="57"/>
      <c r="E49" s="55"/>
      <c r="F49" s="56"/>
      <c r="G49" s="57"/>
      <c r="H49" s="55"/>
      <c r="I49" s="56"/>
      <c r="J49" s="57"/>
      <c r="K49" s="55"/>
      <c r="L49" s="56"/>
      <c r="M49" s="57"/>
      <c r="N49" s="55"/>
      <c r="O49" s="56"/>
      <c r="P49" s="57"/>
      <c r="Q49" s="1"/>
      <c r="R49" s="1"/>
      <c r="S49" s="89"/>
    </row>
    <row r="50" spans="1:19">
      <c r="A50" s="5"/>
      <c r="B50" s="8"/>
      <c r="C50" s="9"/>
      <c r="D50" s="10"/>
      <c r="E50" s="8"/>
      <c r="F50" s="9"/>
      <c r="G50" s="10"/>
      <c r="H50" s="8"/>
      <c r="I50" s="9"/>
      <c r="J50" s="10"/>
      <c r="K50" s="8"/>
      <c r="L50" s="9"/>
      <c r="M50" s="10"/>
      <c r="N50" s="8"/>
      <c r="O50" s="9"/>
      <c r="P50" s="10"/>
      <c r="Q50" s="9"/>
      <c r="R50" s="9"/>
      <c r="S50" s="87"/>
    </row>
    <row r="51" spans="1:19">
      <c r="A51" s="25" t="s">
        <v>179</v>
      </c>
      <c r="B51" s="8"/>
      <c r="C51" s="9"/>
      <c r="D51" s="10"/>
      <c r="E51" s="8"/>
      <c r="F51" s="9"/>
      <c r="G51" s="10"/>
      <c r="H51" s="8"/>
      <c r="I51" s="9"/>
      <c r="J51" s="10"/>
      <c r="K51" s="8"/>
      <c r="L51" s="9"/>
      <c r="M51" s="10"/>
      <c r="N51" s="8"/>
      <c r="O51" s="9"/>
      <c r="P51" s="10"/>
      <c r="Q51" s="9"/>
      <c r="R51" s="9"/>
      <c r="S51" s="87"/>
    </row>
    <row r="52" spans="1:19">
      <c r="A52" s="5" t="s">
        <v>156</v>
      </c>
      <c r="B52" s="8"/>
      <c r="C52" s="9"/>
      <c r="D52" s="10"/>
      <c r="E52" s="8"/>
      <c r="F52" s="9"/>
      <c r="G52" s="10"/>
      <c r="H52" s="8"/>
      <c r="I52" s="9"/>
      <c r="J52" s="10"/>
      <c r="K52" s="8"/>
      <c r="L52" s="9"/>
      <c r="M52" s="10"/>
      <c r="N52" s="8"/>
      <c r="O52" s="9"/>
      <c r="P52" s="10"/>
      <c r="Q52" s="9"/>
      <c r="R52" s="9"/>
      <c r="S52" s="87"/>
    </row>
    <row r="53" spans="1:19">
      <c r="A53" s="5" t="s">
        <v>157</v>
      </c>
      <c r="B53" s="8"/>
      <c r="C53" s="9"/>
      <c r="D53" s="10"/>
      <c r="E53" s="8"/>
      <c r="F53" s="9"/>
      <c r="G53" s="10"/>
      <c r="H53" s="8"/>
      <c r="I53" s="9"/>
      <c r="J53" s="10"/>
      <c r="K53" s="8"/>
      <c r="L53" s="9"/>
      <c r="M53" s="10"/>
      <c r="N53" s="8"/>
      <c r="O53" s="9"/>
      <c r="P53" s="10"/>
      <c r="Q53" s="9"/>
      <c r="R53" s="9"/>
      <c r="S53" s="87"/>
    </row>
    <row r="54" spans="1:19">
      <c r="A54" s="5" t="s">
        <v>158</v>
      </c>
      <c r="B54" s="8"/>
      <c r="C54" s="9"/>
      <c r="D54" s="10"/>
      <c r="E54" s="8"/>
      <c r="F54" s="9"/>
      <c r="G54" s="10"/>
      <c r="H54" s="8"/>
      <c r="I54" s="9"/>
      <c r="J54" s="10"/>
      <c r="K54" s="8"/>
      <c r="L54" s="9"/>
      <c r="M54" s="10"/>
      <c r="N54" s="8"/>
      <c r="O54" s="9"/>
      <c r="P54" s="10"/>
      <c r="Q54" s="9"/>
      <c r="R54" s="9"/>
      <c r="S54" s="87"/>
    </row>
    <row r="55" spans="1:19">
      <c r="A55" s="5" t="s">
        <v>180</v>
      </c>
      <c r="B55" s="8"/>
      <c r="C55" s="9"/>
      <c r="D55" s="10"/>
      <c r="E55" s="8"/>
      <c r="F55" s="9"/>
      <c r="G55" s="10"/>
      <c r="H55" s="8"/>
      <c r="I55" s="9"/>
      <c r="J55" s="10"/>
      <c r="K55" s="8"/>
      <c r="L55" s="9"/>
      <c r="M55" s="10"/>
      <c r="N55" s="8"/>
      <c r="O55" s="9"/>
      <c r="P55" s="10"/>
      <c r="Q55" s="9"/>
      <c r="R55" s="9"/>
      <c r="S55" s="87"/>
    </row>
    <row r="56" spans="1:19">
      <c r="A56" t="s">
        <v>160</v>
      </c>
      <c r="B56" s="8"/>
      <c r="C56" s="9"/>
      <c r="D56" s="10"/>
      <c r="E56" s="8"/>
      <c r="F56" s="9"/>
      <c r="G56" s="10"/>
      <c r="H56" s="8"/>
      <c r="I56" s="9"/>
      <c r="J56" s="10"/>
      <c r="K56" s="8"/>
      <c r="L56" s="9"/>
      <c r="M56" s="10"/>
      <c r="N56" s="8"/>
      <c r="O56" s="9"/>
      <c r="P56" s="10"/>
      <c r="Q56" s="9"/>
      <c r="R56" s="9"/>
      <c r="S56" s="87"/>
    </row>
    <row r="57" spans="1:19">
      <c r="A57" t="s">
        <v>161</v>
      </c>
      <c r="B57" s="8"/>
      <c r="C57" s="9"/>
      <c r="D57" s="10"/>
      <c r="E57" s="8"/>
      <c r="F57" s="9"/>
      <c r="G57" s="10"/>
      <c r="H57" s="8"/>
      <c r="I57" s="9"/>
      <c r="J57" s="10"/>
      <c r="K57" s="8"/>
      <c r="L57" s="9"/>
      <c r="M57" s="10"/>
      <c r="N57" s="8"/>
      <c r="O57" s="9"/>
      <c r="P57" s="10"/>
      <c r="Q57" s="9"/>
      <c r="R57" s="9"/>
      <c r="S57" s="87"/>
    </row>
    <row r="58" spans="1:19">
      <c r="A58" t="s">
        <v>162</v>
      </c>
      <c r="B58" s="8"/>
      <c r="C58" s="9"/>
      <c r="D58" s="10"/>
      <c r="E58" s="8"/>
      <c r="F58" s="9"/>
      <c r="G58" s="10"/>
      <c r="H58" s="8"/>
      <c r="I58" s="9"/>
      <c r="J58" s="10"/>
      <c r="K58" s="8"/>
      <c r="L58" s="9"/>
      <c r="M58" s="10"/>
      <c r="N58" s="8"/>
      <c r="O58" s="9"/>
      <c r="P58" s="10"/>
      <c r="Q58" s="9"/>
      <c r="R58" s="9"/>
      <c r="S58" s="87"/>
    </row>
    <row r="59" spans="1:19">
      <c r="A59" t="s">
        <v>163</v>
      </c>
      <c r="B59" s="8"/>
      <c r="C59" s="9"/>
      <c r="D59" s="10"/>
      <c r="E59" s="8"/>
      <c r="F59" s="9"/>
      <c r="G59" s="10"/>
      <c r="H59" s="8"/>
      <c r="I59" s="9"/>
      <c r="J59" s="10"/>
      <c r="K59" s="8"/>
      <c r="L59" s="9"/>
      <c r="M59" s="10"/>
      <c r="N59" s="8"/>
      <c r="O59" s="9"/>
      <c r="P59" s="10"/>
      <c r="Q59" s="9"/>
      <c r="R59" s="9"/>
      <c r="S59" s="87"/>
    </row>
    <row r="60" spans="1:19">
      <c r="A60" t="s">
        <v>87</v>
      </c>
      <c r="B60" s="8"/>
      <c r="C60" s="9"/>
      <c r="D60" s="10"/>
      <c r="E60" s="8"/>
      <c r="F60" s="9"/>
      <c r="G60" s="10"/>
      <c r="H60" s="8"/>
      <c r="I60" s="9"/>
      <c r="J60" s="10"/>
      <c r="K60" s="8"/>
      <c r="L60" s="9"/>
      <c r="M60" s="10"/>
      <c r="N60" s="8"/>
      <c r="O60" s="9"/>
      <c r="P60" s="10"/>
      <c r="Q60" s="9"/>
      <c r="R60" s="9"/>
      <c r="S60" s="87"/>
    </row>
    <row r="61" spans="1:19">
      <c r="A61" t="s">
        <v>181</v>
      </c>
      <c r="B61" s="8"/>
      <c r="C61" s="9"/>
      <c r="D61" s="10"/>
      <c r="E61" s="8"/>
      <c r="F61" s="9"/>
      <c r="G61" s="10"/>
      <c r="H61" s="8"/>
      <c r="I61" s="9"/>
      <c r="J61" s="10"/>
      <c r="K61" s="8"/>
      <c r="L61" s="9"/>
      <c r="M61" s="10"/>
      <c r="N61" s="8"/>
      <c r="O61" s="9"/>
      <c r="P61" s="10"/>
      <c r="Q61" s="9"/>
      <c r="R61" s="9"/>
      <c r="S61" s="87"/>
    </row>
    <row r="62" spans="1:19" ht="14" thickBot="1">
      <c r="B62" s="12"/>
      <c r="C62" s="13"/>
      <c r="D62" s="14"/>
      <c r="E62" s="12"/>
      <c r="F62" s="13"/>
      <c r="G62" s="14"/>
      <c r="H62" s="12"/>
      <c r="I62" s="13"/>
      <c r="J62" s="14"/>
      <c r="K62" s="12"/>
      <c r="L62" s="13"/>
      <c r="M62" s="14"/>
      <c r="N62" s="12"/>
      <c r="O62" s="13"/>
      <c r="P62" s="14"/>
      <c r="Q62" s="13"/>
      <c r="R62" s="13"/>
      <c r="S62" s="96"/>
    </row>
  </sheetData>
  <printOptions gridLines="1" gridLinesSet="0"/>
  <pageMargins left="0.43" right="0.43" top="1" bottom="1" header="0.5" footer="0.5"/>
  <pageSetup paperSize="0" scale="34" firstPageNumber="17" orientation="landscape" useFirstPageNumber="1" horizontalDpi="4294967292" verticalDpi="4294967292"/>
  <headerFooter>
    <oddHeader>&amp;A</oddHeader>
    <oddFooter>Page &amp;P</oddFooter>
  </headerFooter>
  <rowBreaks count="1" manualBreakCount="1">
    <brk id="1" max="65535" man="1"/>
  </rowBreaks>
  <colBreaks count="2" manualBreakCount="2">
    <brk id="18" max="1048575" man="1"/>
    <brk id="1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62"/>
  <sheetViews>
    <sheetView workbookViewId="0">
      <pane xSplit="1" ySplit="4" topLeftCell="B5" activePane="bottomRight" state="frozenSplit"/>
      <selection pane="topRight"/>
      <selection pane="bottomLeft" activeCell="A5" sqref="A5"/>
      <selection pane="bottomRight" activeCell="AI17" sqref="AI17"/>
    </sheetView>
  </sheetViews>
  <sheetFormatPr baseColWidth="10" defaultColWidth="11.42578125" defaultRowHeight="13" x14ac:dyDescent="0"/>
  <cols>
    <col min="1" max="1" width="36.42578125" customWidth="1"/>
    <col min="2" max="2" width="9.28515625" customWidth="1"/>
    <col min="3" max="3" width="9.42578125" style="27" customWidth="1"/>
    <col min="4" max="5" width="9.28515625" customWidth="1"/>
    <col min="6" max="6" width="9.42578125" customWidth="1"/>
    <col min="7" max="7" width="9.140625" customWidth="1"/>
    <col min="8" max="8" width="9.28515625" customWidth="1"/>
    <col min="9" max="9" width="10.85546875" customWidth="1"/>
    <col min="10" max="10" width="9.140625" customWidth="1"/>
    <col min="11" max="11" width="9.28515625" customWidth="1"/>
    <col min="12" max="12" width="10.85546875" customWidth="1"/>
    <col min="13" max="13" width="9.140625" customWidth="1"/>
    <col min="14" max="14" width="9.28515625" customWidth="1"/>
    <col min="15" max="15" width="10.85546875" customWidth="1"/>
    <col min="16" max="16" width="9.140625" customWidth="1"/>
    <col min="17" max="18" width="11.85546875" customWidth="1"/>
  </cols>
  <sheetData>
    <row r="1" spans="1:35" ht="14" thickBot="1">
      <c r="U1" s="97"/>
      <c r="V1" s="97"/>
      <c r="W1" s="97"/>
      <c r="X1" s="97"/>
      <c r="Y1" s="97"/>
      <c r="Z1" s="97"/>
      <c r="AA1" s="97"/>
      <c r="AB1" s="97"/>
      <c r="AC1" s="97"/>
    </row>
    <row r="2" spans="1:35">
      <c r="B2" s="15">
        <v>1996</v>
      </c>
      <c r="C2" s="28">
        <v>1996</v>
      </c>
      <c r="D2" s="19">
        <v>1996</v>
      </c>
      <c r="E2" s="15">
        <v>1997</v>
      </c>
      <c r="F2" s="18">
        <v>1997</v>
      </c>
      <c r="G2" s="19">
        <v>1997</v>
      </c>
      <c r="H2" s="15">
        <v>1997</v>
      </c>
      <c r="I2" s="18">
        <v>1997</v>
      </c>
      <c r="J2" s="19">
        <v>1997</v>
      </c>
      <c r="K2" s="15">
        <v>1997</v>
      </c>
      <c r="L2" s="18">
        <v>1997</v>
      </c>
      <c r="M2" s="19">
        <v>1997</v>
      </c>
      <c r="N2" s="15">
        <v>1997</v>
      </c>
      <c r="O2" s="18">
        <v>1997</v>
      </c>
      <c r="P2" s="19">
        <v>1997</v>
      </c>
      <c r="Q2" s="18">
        <v>1997</v>
      </c>
      <c r="R2" s="18">
        <v>1997</v>
      </c>
      <c r="S2" s="84">
        <v>1997</v>
      </c>
      <c r="U2" s="98" t="s">
        <v>103</v>
      </c>
      <c r="V2" s="98" t="s">
        <v>103</v>
      </c>
      <c r="W2" s="98" t="s">
        <v>103</v>
      </c>
      <c r="X2" s="98" t="s">
        <v>103</v>
      </c>
      <c r="Y2" s="98" t="s">
        <v>103</v>
      </c>
      <c r="Z2" s="98" t="s">
        <v>103</v>
      </c>
      <c r="AA2" s="98" t="s">
        <v>103</v>
      </c>
      <c r="AB2" s="98" t="s">
        <v>103</v>
      </c>
      <c r="AC2" s="98" t="s">
        <v>103</v>
      </c>
      <c r="AD2" s="98" t="s">
        <v>103</v>
      </c>
      <c r="AE2" s="98" t="s">
        <v>103</v>
      </c>
      <c r="AF2" s="98" t="s">
        <v>103</v>
      </c>
      <c r="AG2" s="98"/>
      <c r="AH2" s="98"/>
      <c r="AI2" s="98"/>
    </row>
    <row r="3" spans="1:35">
      <c r="B3" s="16" t="s">
        <v>104</v>
      </c>
      <c r="C3" s="29" t="s">
        <v>104</v>
      </c>
      <c r="D3" s="21" t="s">
        <v>104</v>
      </c>
      <c r="E3" s="16" t="s">
        <v>105</v>
      </c>
      <c r="F3" s="20" t="s">
        <v>105</v>
      </c>
      <c r="G3" s="21" t="s">
        <v>105</v>
      </c>
      <c r="H3" s="16" t="s">
        <v>106</v>
      </c>
      <c r="I3" s="20" t="s">
        <v>106</v>
      </c>
      <c r="J3" s="21" t="s">
        <v>106</v>
      </c>
      <c r="K3" s="16" t="s">
        <v>107</v>
      </c>
      <c r="L3" s="20" t="s">
        <v>108</v>
      </c>
      <c r="M3" s="21" t="s">
        <v>108</v>
      </c>
      <c r="N3" s="16" t="s">
        <v>104</v>
      </c>
      <c r="O3" s="20" t="s">
        <v>104</v>
      </c>
      <c r="P3" s="21" t="s">
        <v>104</v>
      </c>
      <c r="Q3" s="20" t="s">
        <v>109</v>
      </c>
      <c r="R3" s="20" t="s">
        <v>109</v>
      </c>
      <c r="S3" s="85" t="s">
        <v>109</v>
      </c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</row>
    <row r="4" spans="1:35">
      <c r="A4" s="1"/>
      <c r="B4" s="17" t="s">
        <v>111</v>
      </c>
      <c r="C4" s="30" t="s">
        <v>112</v>
      </c>
      <c r="D4" s="23" t="s">
        <v>103</v>
      </c>
      <c r="E4" s="17" t="s">
        <v>111</v>
      </c>
      <c r="F4" s="22" t="s">
        <v>112</v>
      </c>
      <c r="G4" s="23" t="s">
        <v>103</v>
      </c>
      <c r="H4" s="17" t="s">
        <v>111</v>
      </c>
      <c r="I4" s="22" t="s">
        <v>112</v>
      </c>
      <c r="J4" s="23" t="s">
        <v>103</v>
      </c>
      <c r="K4" s="17" t="s">
        <v>111</v>
      </c>
      <c r="L4" s="22" t="s">
        <v>112</v>
      </c>
      <c r="M4" s="23" t="s">
        <v>103</v>
      </c>
      <c r="N4" s="17" t="s">
        <v>111</v>
      </c>
      <c r="O4" s="22" t="s">
        <v>112</v>
      </c>
      <c r="P4" s="23" t="s">
        <v>103</v>
      </c>
      <c r="Q4" s="22" t="s">
        <v>111</v>
      </c>
      <c r="R4" s="22" t="s">
        <v>112</v>
      </c>
      <c r="S4" s="86" t="s">
        <v>103</v>
      </c>
      <c r="U4" s="100">
        <v>33877</v>
      </c>
      <c r="V4" s="100">
        <v>33908</v>
      </c>
      <c r="W4" s="100">
        <v>33938</v>
      </c>
      <c r="X4" s="100">
        <v>33969</v>
      </c>
      <c r="Y4" s="100">
        <v>34000</v>
      </c>
      <c r="Z4" s="100">
        <v>34028</v>
      </c>
      <c r="AA4" s="100">
        <v>34059</v>
      </c>
      <c r="AB4" s="100">
        <v>34089</v>
      </c>
      <c r="AC4" s="100">
        <v>34120</v>
      </c>
      <c r="AD4" s="100">
        <v>34150</v>
      </c>
      <c r="AE4" s="100">
        <v>34181</v>
      </c>
      <c r="AF4" s="100">
        <v>34212</v>
      </c>
      <c r="AG4" s="100">
        <v>34242</v>
      </c>
      <c r="AH4" s="100">
        <v>34273</v>
      </c>
      <c r="AI4" s="100">
        <v>34303</v>
      </c>
    </row>
    <row r="5" spans="1:35">
      <c r="B5" s="8"/>
      <c r="C5" s="31"/>
      <c r="D5" s="10"/>
      <c r="E5" s="8"/>
      <c r="F5" s="9"/>
      <c r="G5" s="10"/>
      <c r="H5" s="8"/>
      <c r="I5" s="9"/>
      <c r="J5" s="10"/>
      <c r="K5" s="8"/>
      <c r="L5" s="9"/>
      <c r="M5" s="10"/>
      <c r="N5" s="8"/>
      <c r="O5" s="9"/>
      <c r="P5" s="10"/>
      <c r="Q5" s="50"/>
      <c r="R5" s="50"/>
      <c r="S5" s="87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</row>
    <row r="6" spans="1:35">
      <c r="A6" s="37" t="s">
        <v>114</v>
      </c>
      <c r="B6" s="26"/>
      <c r="C6" s="31"/>
      <c r="D6" s="38"/>
      <c r="E6" s="26"/>
      <c r="F6" s="31"/>
      <c r="G6" s="38"/>
      <c r="H6" s="26"/>
      <c r="I6" s="31"/>
      <c r="J6" s="38"/>
      <c r="K6" s="26"/>
      <c r="L6" s="31"/>
      <c r="M6" s="38"/>
      <c r="N6" s="26"/>
      <c r="O6" s="31"/>
      <c r="P6" s="38"/>
      <c r="Q6" s="80"/>
      <c r="R6" s="50"/>
      <c r="S6" s="88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</row>
    <row r="7" spans="1:35">
      <c r="A7" s="2" t="s">
        <v>115</v>
      </c>
      <c r="B7" s="8"/>
      <c r="C7" s="31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0"/>
      <c r="R7" s="50"/>
      <c r="S7" s="87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</row>
    <row r="8" spans="1:35">
      <c r="A8" s="37" t="s">
        <v>116</v>
      </c>
      <c r="B8" s="26"/>
      <c r="C8" s="31"/>
      <c r="D8" s="38"/>
      <c r="E8" s="26"/>
      <c r="F8" s="31"/>
      <c r="G8" s="38"/>
      <c r="H8" s="26"/>
      <c r="I8" s="31"/>
      <c r="J8" s="38"/>
      <c r="K8" s="26"/>
      <c r="L8" s="31"/>
      <c r="M8" s="38"/>
      <c r="N8" s="26"/>
      <c r="O8" s="31"/>
      <c r="P8" s="38"/>
      <c r="Q8" s="80"/>
      <c r="R8" s="80"/>
      <c r="S8" s="88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</row>
    <row r="9" spans="1:35" ht="14" thickBot="1">
      <c r="A9" s="3"/>
      <c r="B9" s="6"/>
      <c r="C9" s="32"/>
      <c r="D9" s="7"/>
      <c r="E9" s="6"/>
      <c r="F9" s="1"/>
      <c r="G9" s="7"/>
      <c r="H9" s="6"/>
      <c r="I9" s="1"/>
      <c r="J9" s="7"/>
      <c r="K9" s="6"/>
      <c r="L9" s="1"/>
      <c r="M9" s="7"/>
      <c r="N9" s="6"/>
      <c r="O9" s="1"/>
      <c r="P9" s="7"/>
      <c r="Q9" s="54"/>
      <c r="R9" s="50"/>
      <c r="S9" s="8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</row>
    <row r="10" spans="1:35" ht="14" thickBot="1">
      <c r="A10" s="34" t="s">
        <v>117</v>
      </c>
      <c r="B10" s="35">
        <f>B6-B8</f>
        <v>0</v>
      </c>
      <c r="C10" s="32">
        <f t="shared" ref="C10:R10" si="0">C6-C8</f>
        <v>0</v>
      </c>
      <c r="D10" s="36">
        <f t="shared" si="0"/>
        <v>0</v>
      </c>
      <c r="E10" s="35">
        <f t="shared" si="0"/>
        <v>0</v>
      </c>
      <c r="F10" s="32">
        <f t="shared" si="0"/>
        <v>0</v>
      </c>
      <c r="G10" s="36">
        <f t="shared" si="0"/>
        <v>0</v>
      </c>
      <c r="H10" s="35">
        <f t="shared" si="0"/>
        <v>0</v>
      </c>
      <c r="I10" s="32">
        <f t="shared" si="0"/>
        <v>0</v>
      </c>
      <c r="J10" s="36">
        <f t="shared" si="0"/>
        <v>0</v>
      </c>
      <c r="K10" s="35">
        <f t="shared" si="0"/>
        <v>0</v>
      </c>
      <c r="L10" s="32">
        <f t="shared" si="0"/>
        <v>0</v>
      </c>
      <c r="M10" s="36">
        <f t="shared" si="0"/>
        <v>0</v>
      </c>
      <c r="N10" s="35">
        <f t="shared" si="0"/>
        <v>0</v>
      </c>
      <c r="O10" s="32">
        <f t="shared" si="0"/>
        <v>0</v>
      </c>
      <c r="P10" s="36">
        <f t="shared" si="0"/>
        <v>0</v>
      </c>
      <c r="Q10" s="32">
        <f t="shared" si="0"/>
        <v>0</v>
      </c>
      <c r="R10" s="32">
        <f t="shared" si="0"/>
        <v>0</v>
      </c>
      <c r="S10" s="90">
        <f>S6-S8</f>
        <v>0</v>
      </c>
      <c r="U10" s="102">
        <f t="shared" ref="U10:AI10" si="1">U6-U8</f>
        <v>0</v>
      </c>
      <c r="V10" s="102">
        <f t="shared" si="1"/>
        <v>0</v>
      </c>
      <c r="W10" s="102">
        <f t="shared" si="1"/>
        <v>0</v>
      </c>
      <c r="X10" s="102">
        <f t="shared" si="1"/>
        <v>0</v>
      </c>
      <c r="Y10" s="102">
        <f t="shared" si="1"/>
        <v>0</v>
      </c>
      <c r="Z10" s="102">
        <f t="shared" si="1"/>
        <v>0</v>
      </c>
      <c r="AA10" s="102">
        <f t="shared" si="1"/>
        <v>0</v>
      </c>
      <c r="AB10" s="102">
        <f t="shared" si="1"/>
        <v>0</v>
      </c>
      <c r="AC10" s="102">
        <f t="shared" si="1"/>
        <v>0</v>
      </c>
      <c r="AD10" s="102">
        <f t="shared" si="1"/>
        <v>0</v>
      </c>
      <c r="AE10" s="102">
        <f t="shared" si="1"/>
        <v>0</v>
      </c>
      <c r="AF10" s="102">
        <f t="shared" si="1"/>
        <v>0</v>
      </c>
      <c r="AG10" s="102">
        <f t="shared" si="1"/>
        <v>0</v>
      </c>
      <c r="AH10" s="102">
        <f t="shared" si="1"/>
        <v>0</v>
      </c>
      <c r="AI10" s="102">
        <f t="shared" si="1"/>
        <v>0</v>
      </c>
    </row>
    <row r="11" spans="1:35">
      <c r="B11" s="8"/>
      <c r="C11" s="31"/>
      <c r="D11" s="10"/>
      <c r="E11" s="8"/>
      <c r="F11" s="9"/>
      <c r="G11" s="10"/>
      <c r="H11" s="8"/>
      <c r="I11" s="9"/>
      <c r="J11" s="10"/>
      <c r="K11" s="8"/>
      <c r="L11" s="9"/>
      <c r="M11" s="10"/>
      <c r="N11" s="8"/>
      <c r="O11" s="9"/>
      <c r="P11" s="10"/>
      <c r="Q11" s="50"/>
      <c r="R11" s="50"/>
      <c r="S11" s="87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</row>
    <row r="12" spans="1:35">
      <c r="A12" s="47" t="s">
        <v>59</v>
      </c>
      <c r="B12" s="75"/>
      <c r="C12" s="31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1"/>
      <c r="R12" s="50"/>
      <c r="S12" s="87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</row>
    <row r="13" spans="1:35">
      <c r="B13" s="75"/>
      <c r="C13" s="31"/>
      <c r="D13" s="10"/>
      <c r="E13" s="8"/>
      <c r="F13" s="9"/>
      <c r="G13" s="10"/>
      <c r="H13" s="8"/>
      <c r="I13" s="9"/>
      <c r="J13" s="10"/>
      <c r="K13" s="8"/>
      <c r="L13" s="9"/>
      <c r="M13" s="10"/>
      <c r="N13" s="8"/>
      <c r="O13" s="9"/>
      <c r="P13" s="10"/>
      <c r="Q13" s="50"/>
      <c r="R13" s="50"/>
      <c r="S13" s="87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</row>
    <row r="14" spans="1:35">
      <c r="A14" s="73" t="s">
        <v>199</v>
      </c>
      <c r="B14" s="11"/>
      <c r="C14" s="40"/>
      <c r="D14" s="44"/>
      <c r="E14" s="11"/>
      <c r="F14" s="40"/>
      <c r="G14" s="44"/>
      <c r="H14" s="11"/>
      <c r="I14" s="40"/>
      <c r="J14" s="44"/>
      <c r="K14" s="11"/>
      <c r="L14" s="40"/>
      <c r="M14" s="44"/>
      <c r="N14" s="11"/>
      <c r="O14" s="40"/>
      <c r="P14" s="44"/>
      <c r="Q14" s="40"/>
      <c r="R14" s="40"/>
      <c r="S14" s="91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</row>
    <row r="15" spans="1:35">
      <c r="A15" s="73" t="s">
        <v>200</v>
      </c>
      <c r="B15" s="11"/>
      <c r="C15" s="40"/>
      <c r="D15" s="44"/>
      <c r="E15" s="11"/>
      <c r="F15" s="40"/>
      <c r="G15" s="44"/>
      <c r="H15" s="11"/>
      <c r="I15" s="40"/>
      <c r="J15" s="44"/>
      <c r="K15" s="11"/>
      <c r="L15" s="40"/>
      <c r="M15" s="44"/>
      <c r="N15" s="11"/>
      <c r="O15" s="40"/>
      <c r="P15" s="44"/>
      <c r="Q15" s="40"/>
      <c r="R15" s="40"/>
      <c r="S15" s="91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</row>
    <row r="16" spans="1:35">
      <c r="A16" s="73" t="s">
        <v>168</v>
      </c>
      <c r="B16" s="11"/>
      <c r="C16" s="40"/>
      <c r="D16" s="44"/>
      <c r="E16" s="11"/>
      <c r="F16" s="40"/>
      <c r="G16" s="44"/>
      <c r="H16" s="11"/>
      <c r="I16" s="40"/>
      <c r="J16" s="44"/>
      <c r="K16" s="11"/>
      <c r="L16" s="40"/>
      <c r="M16" s="44"/>
      <c r="N16" s="11"/>
      <c r="O16" s="40"/>
      <c r="P16" s="44"/>
      <c r="Q16" s="40"/>
      <c r="R16" s="40"/>
      <c r="S16" s="91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</row>
    <row r="17" spans="1:35" s="123" customFormat="1">
      <c r="A17" s="117" t="s">
        <v>119</v>
      </c>
      <c r="B17" s="118">
        <v>75000</v>
      </c>
      <c r="C17" s="119">
        <v>70000</v>
      </c>
      <c r="D17" s="120">
        <f>U17+V17+W17</f>
        <v>67744.78</v>
      </c>
      <c r="E17" s="118">
        <v>75000</v>
      </c>
      <c r="F17" s="119">
        <v>70000</v>
      </c>
      <c r="G17" s="120">
        <f>X17+Y17+Z17</f>
        <v>65678.959999999992</v>
      </c>
      <c r="H17" s="118">
        <v>75000</v>
      </c>
      <c r="I17" s="119">
        <v>70000</v>
      </c>
      <c r="J17" s="120">
        <f>AA17+AB17+AC17</f>
        <v>72051.92</v>
      </c>
      <c r="K17" s="118">
        <v>75000</v>
      </c>
      <c r="L17" s="119">
        <v>70000</v>
      </c>
      <c r="M17" s="120">
        <f>AD17+AE17+AF17</f>
        <v>75844.800000000003</v>
      </c>
      <c r="N17" s="118">
        <v>75000</v>
      </c>
      <c r="O17" s="119">
        <v>70000</v>
      </c>
      <c r="P17" s="120">
        <f>AG17+AH17+AI17</f>
        <v>70014.990000000005</v>
      </c>
      <c r="Q17" s="121">
        <f>E17+H17+K17+N17</f>
        <v>300000</v>
      </c>
      <c r="R17" s="121">
        <f>F17+I17+L17+O17</f>
        <v>280000</v>
      </c>
      <c r="S17" s="122">
        <f>G17+J17+M17+P17</f>
        <v>283590.67</v>
      </c>
      <c r="U17" s="124">
        <v>25274.1</v>
      </c>
      <c r="V17" s="124">
        <v>24856.75</v>
      </c>
      <c r="W17" s="124">
        <v>17613.93</v>
      </c>
      <c r="X17" s="124">
        <v>24208.959999999999</v>
      </c>
      <c r="Y17" s="124">
        <v>19917</v>
      </c>
      <c r="Z17" s="124">
        <v>21553</v>
      </c>
      <c r="AA17" s="124">
        <v>23243</v>
      </c>
      <c r="AB17" s="124">
        <v>23794.92</v>
      </c>
      <c r="AC17" s="124">
        <v>25014</v>
      </c>
      <c r="AD17" s="124">
        <v>24613.67</v>
      </c>
      <c r="AE17" s="124">
        <v>26302</v>
      </c>
      <c r="AF17" s="124">
        <v>24929.13</v>
      </c>
      <c r="AG17" s="124">
        <v>26909.46</v>
      </c>
      <c r="AH17" s="124">
        <v>28285.09</v>
      </c>
      <c r="AI17" s="124">
        <v>14820.44</v>
      </c>
    </row>
    <row r="18" spans="1:35">
      <c r="A18" s="53" t="s">
        <v>169</v>
      </c>
      <c r="B18" s="49"/>
      <c r="C18" s="50"/>
      <c r="D18" s="51"/>
      <c r="E18" s="49"/>
      <c r="F18" s="50"/>
      <c r="G18" s="51"/>
      <c r="H18" s="49"/>
      <c r="I18" s="50"/>
      <c r="J18" s="51"/>
      <c r="K18" s="49"/>
      <c r="L18" s="50"/>
      <c r="M18" s="51"/>
      <c r="N18" s="49"/>
      <c r="O18" s="50"/>
      <c r="P18" s="51"/>
      <c r="Q18" s="80"/>
      <c r="R18" s="50"/>
      <c r="S18" s="92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</row>
    <row r="19" spans="1:35">
      <c r="A19" s="54" t="s">
        <v>120</v>
      </c>
      <c r="B19" s="55"/>
      <c r="C19" s="56"/>
      <c r="D19" s="57"/>
      <c r="E19" s="55"/>
      <c r="F19" s="56"/>
      <c r="G19" s="57"/>
      <c r="H19" s="55"/>
      <c r="I19" s="56"/>
      <c r="J19" s="57"/>
      <c r="K19" s="55"/>
      <c r="L19" s="56"/>
      <c r="M19" s="57"/>
      <c r="N19" s="55"/>
      <c r="O19" s="56"/>
      <c r="P19" s="57"/>
      <c r="Q19" s="80"/>
      <c r="R19" s="80"/>
      <c r="S19" s="93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</row>
    <row r="20" spans="1:35">
      <c r="A20" s="39" t="s">
        <v>121</v>
      </c>
      <c r="B20" s="35">
        <f>B19+B17+B15</f>
        <v>75000</v>
      </c>
      <c r="C20" s="32">
        <f t="shared" ref="C20:R20" si="2">C19+C17+C15</f>
        <v>70000</v>
      </c>
      <c r="D20" s="36">
        <f t="shared" si="2"/>
        <v>67744.78</v>
      </c>
      <c r="E20" s="35">
        <f t="shared" si="2"/>
        <v>75000</v>
      </c>
      <c r="F20" s="32">
        <f t="shared" si="2"/>
        <v>70000</v>
      </c>
      <c r="G20" s="36">
        <f t="shared" si="2"/>
        <v>65678.959999999992</v>
      </c>
      <c r="H20" s="35">
        <f t="shared" si="2"/>
        <v>75000</v>
      </c>
      <c r="I20" s="32">
        <f t="shared" si="2"/>
        <v>70000</v>
      </c>
      <c r="J20" s="36">
        <f t="shared" si="2"/>
        <v>72051.92</v>
      </c>
      <c r="K20" s="35">
        <f t="shared" si="2"/>
        <v>75000</v>
      </c>
      <c r="L20" s="32">
        <f t="shared" si="2"/>
        <v>70000</v>
      </c>
      <c r="M20" s="36">
        <f t="shared" si="2"/>
        <v>75844.800000000003</v>
      </c>
      <c r="N20" s="35">
        <f t="shared" si="2"/>
        <v>75000</v>
      </c>
      <c r="O20" s="32">
        <f t="shared" si="2"/>
        <v>70000</v>
      </c>
      <c r="P20" s="36">
        <f t="shared" si="2"/>
        <v>70014.990000000005</v>
      </c>
      <c r="Q20" s="32">
        <f t="shared" si="2"/>
        <v>300000</v>
      </c>
      <c r="R20" s="32">
        <f t="shared" si="2"/>
        <v>280000</v>
      </c>
      <c r="S20" s="90">
        <f>S19+S17+S15</f>
        <v>283590.67</v>
      </c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</row>
    <row r="21" spans="1:35">
      <c r="A21" s="53"/>
      <c r="B21" s="49"/>
      <c r="C21" s="50"/>
      <c r="D21" s="51"/>
      <c r="E21" s="49"/>
      <c r="F21" s="50"/>
      <c r="G21" s="51"/>
      <c r="H21" s="49"/>
      <c r="I21" s="50"/>
      <c r="J21" s="51"/>
      <c r="K21" s="49"/>
      <c r="L21" s="50"/>
      <c r="M21" s="51"/>
      <c r="N21" s="49"/>
      <c r="O21" s="50"/>
      <c r="P21" s="51"/>
      <c r="Q21" s="50"/>
      <c r="R21" s="50"/>
      <c r="S21" s="92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</row>
    <row r="22" spans="1:35" ht="14" thickBot="1">
      <c r="A22" s="34" t="s">
        <v>194</v>
      </c>
      <c r="B22" s="55">
        <f>B10-B20</f>
        <v>-75000</v>
      </c>
      <c r="C22" s="56">
        <f t="shared" ref="C22:R22" si="3">C10-C20</f>
        <v>-70000</v>
      </c>
      <c r="D22" s="57">
        <f t="shared" si="3"/>
        <v>-67744.78</v>
      </c>
      <c r="E22" s="55">
        <f t="shared" si="3"/>
        <v>-75000</v>
      </c>
      <c r="F22" s="56">
        <f t="shared" si="3"/>
        <v>-70000</v>
      </c>
      <c r="G22" s="57">
        <f t="shared" si="3"/>
        <v>-65678.959999999992</v>
      </c>
      <c r="H22" s="55">
        <f t="shared" si="3"/>
        <v>-75000</v>
      </c>
      <c r="I22" s="56">
        <f t="shared" si="3"/>
        <v>-70000</v>
      </c>
      <c r="J22" s="57">
        <f t="shared" si="3"/>
        <v>-72051.92</v>
      </c>
      <c r="K22" s="55">
        <f t="shared" si="3"/>
        <v>-75000</v>
      </c>
      <c r="L22" s="56">
        <f t="shared" si="3"/>
        <v>-70000</v>
      </c>
      <c r="M22" s="57">
        <f t="shared" si="3"/>
        <v>-75844.800000000003</v>
      </c>
      <c r="N22" s="55">
        <f t="shared" si="3"/>
        <v>-75000</v>
      </c>
      <c r="O22" s="56">
        <f t="shared" si="3"/>
        <v>-70000</v>
      </c>
      <c r="P22" s="57">
        <f t="shared" si="3"/>
        <v>-70014.990000000005</v>
      </c>
      <c r="Q22" s="56">
        <f t="shared" si="3"/>
        <v>-300000</v>
      </c>
      <c r="R22" s="56">
        <f t="shared" si="3"/>
        <v>-280000</v>
      </c>
      <c r="S22" s="93">
        <f>S10-S20</f>
        <v>-283590.67</v>
      </c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</row>
    <row r="23" spans="1:35" ht="14" thickBot="1">
      <c r="A23" s="67" t="s">
        <v>123</v>
      </c>
      <c r="B23" s="68"/>
      <c r="C23" s="69"/>
      <c r="D23" s="70"/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71"/>
      <c r="R23" s="71"/>
      <c r="S23" s="94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</row>
    <row r="24" spans="1:35">
      <c r="A24" s="59" t="s">
        <v>125</v>
      </c>
      <c r="B24" s="63">
        <f>B22-B23</f>
        <v>-75000</v>
      </c>
      <c r="C24" s="64">
        <f t="shared" ref="C24:R24" si="4">C22-C23</f>
        <v>-70000</v>
      </c>
      <c r="D24" s="79">
        <f t="shared" si="4"/>
        <v>-67744.78</v>
      </c>
      <c r="E24" s="63">
        <f t="shared" si="4"/>
        <v>-75000</v>
      </c>
      <c r="F24" s="64">
        <f t="shared" si="4"/>
        <v>-70000</v>
      </c>
      <c r="G24" s="65">
        <f t="shared" si="4"/>
        <v>-65678.959999999992</v>
      </c>
      <c r="H24" s="63">
        <f t="shared" si="4"/>
        <v>-75000</v>
      </c>
      <c r="I24" s="64">
        <f t="shared" si="4"/>
        <v>-70000</v>
      </c>
      <c r="J24" s="65">
        <f t="shared" si="4"/>
        <v>-72051.92</v>
      </c>
      <c r="K24" s="63">
        <f t="shared" si="4"/>
        <v>-75000</v>
      </c>
      <c r="L24" s="64">
        <f t="shared" si="4"/>
        <v>-70000</v>
      </c>
      <c r="M24" s="65">
        <f t="shared" si="4"/>
        <v>-75844.800000000003</v>
      </c>
      <c r="N24" s="63">
        <f t="shared" si="4"/>
        <v>-75000</v>
      </c>
      <c r="O24" s="64">
        <f t="shared" si="4"/>
        <v>-70000</v>
      </c>
      <c r="P24" s="65">
        <f t="shared" si="4"/>
        <v>-70014.990000000005</v>
      </c>
      <c r="Q24" s="64">
        <f t="shared" si="4"/>
        <v>-300000</v>
      </c>
      <c r="R24" s="64">
        <f t="shared" si="4"/>
        <v>-280000</v>
      </c>
      <c r="S24" s="95">
        <f>S22-S23</f>
        <v>-283590.67</v>
      </c>
    </row>
    <row r="25" spans="1:35">
      <c r="A25" s="59"/>
      <c r="B25" s="49"/>
      <c r="C25" s="50"/>
      <c r="D25" s="51"/>
      <c r="E25" s="49"/>
      <c r="F25" s="50"/>
      <c r="G25" s="51"/>
      <c r="H25" s="49"/>
      <c r="I25" s="50"/>
      <c r="J25" s="51"/>
      <c r="K25" s="49"/>
      <c r="L25" s="50"/>
      <c r="M25" s="51"/>
      <c r="N25" s="49"/>
      <c r="O25" s="50"/>
      <c r="P25" s="51"/>
      <c r="Q25" s="82"/>
      <c r="R25" s="50" t="s">
        <v>201</v>
      </c>
      <c r="S25" s="92" t="s">
        <v>201</v>
      </c>
    </row>
    <row r="26" spans="1:35">
      <c r="A26" t="s">
        <v>176</v>
      </c>
      <c r="B26" s="11">
        <v>0.42</v>
      </c>
      <c r="C26" s="40">
        <v>0.42</v>
      </c>
      <c r="D26" s="44">
        <v>0.42</v>
      </c>
      <c r="E26" s="11">
        <v>0.42</v>
      </c>
      <c r="F26" s="40">
        <v>0.42</v>
      </c>
      <c r="G26" s="44">
        <v>0.42</v>
      </c>
      <c r="H26" s="11">
        <v>0.42</v>
      </c>
      <c r="I26" s="40">
        <v>0.42</v>
      </c>
      <c r="J26" s="44">
        <v>0.42</v>
      </c>
      <c r="K26" s="11">
        <v>0.42</v>
      </c>
      <c r="L26" s="40">
        <v>0.42</v>
      </c>
      <c r="M26" s="44">
        <v>0.42</v>
      </c>
      <c r="N26" s="11">
        <v>0.42</v>
      </c>
      <c r="O26" s="40">
        <v>0.42</v>
      </c>
      <c r="P26" s="44">
        <v>0.42</v>
      </c>
      <c r="Q26" s="46"/>
      <c r="R26" s="9"/>
      <c r="S26" s="91"/>
    </row>
    <row r="27" spans="1:35">
      <c r="B27" s="11"/>
      <c r="C27" s="40"/>
      <c r="D27" s="44"/>
      <c r="E27" s="11"/>
      <c r="F27" s="40"/>
      <c r="G27" s="44"/>
      <c r="H27" s="11"/>
      <c r="I27" s="40"/>
      <c r="J27" s="44"/>
      <c r="K27" s="11"/>
      <c r="L27" s="40"/>
      <c r="M27" s="44"/>
      <c r="N27" s="11"/>
      <c r="O27" s="40"/>
      <c r="P27" s="44"/>
      <c r="Q27" s="46"/>
      <c r="R27" s="9"/>
      <c r="S27" s="91"/>
    </row>
    <row r="28" spans="1:35">
      <c r="B28" s="11"/>
      <c r="C28" s="40"/>
      <c r="D28" s="44"/>
      <c r="E28" s="11"/>
      <c r="F28" s="40"/>
      <c r="G28" s="44"/>
      <c r="H28" s="11"/>
      <c r="I28" s="40"/>
      <c r="J28" s="44"/>
      <c r="K28" s="11"/>
      <c r="L28" s="40"/>
      <c r="M28" s="44"/>
      <c r="N28" s="11"/>
      <c r="O28" s="40"/>
      <c r="P28" s="44"/>
      <c r="Q28" s="46"/>
      <c r="R28" s="9"/>
      <c r="S28" s="91"/>
    </row>
    <row r="29" spans="1:35">
      <c r="A29" s="58" t="s">
        <v>132</v>
      </c>
      <c r="B29" s="72" t="str">
        <f>IF(B24&lt;0,"NA",B24*(1-B26))</f>
        <v>NA</v>
      </c>
      <c r="C29" s="50" t="str">
        <f t="shared" ref="C29:P29" si="5">IF(C24&lt;0,"NA",C24*(1-C26))</f>
        <v>NA</v>
      </c>
      <c r="D29" s="51" t="str">
        <f t="shared" si="5"/>
        <v>NA</v>
      </c>
      <c r="E29" s="49" t="str">
        <f t="shared" si="5"/>
        <v>NA</v>
      </c>
      <c r="F29" s="50" t="str">
        <f t="shared" si="5"/>
        <v>NA</v>
      </c>
      <c r="G29" s="51" t="str">
        <f t="shared" si="5"/>
        <v>NA</v>
      </c>
      <c r="H29" s="49" t="str">
        <f t="shared" si="5"/>
        <v>NA</v>
      </c>
      <c r="I29" s="50" t="str">
        <f t="shared" si="5"/>
        <v>NA</v>
      </c>
      <c r="J29" s="51" t="str">
        <f t="shared" si="5"/>
        <v>NA</v>
      </c>
      <c r="K29" s="49" t="str">
        <f t="shared" si="5"/>
        <v>NA</v>
      </c>
      <c r="L29" s="50" t="str">
        <f t="shared" si="5"/>
        <v>NA</v>
      </c>
      <c r="M29" s="51" t="str">
        <f t="shared" si="5"/>
        <v>NA</v>
      </c>
      <c r="N29" s="49" t="str">
        <f t="shared" si="5"/>
        <v>NA</v>
      </c>
      <c r="O29" s="50" t="str">
        <f t="shared" si="5"/>
        <v>NA</v>
      </c>
      <c r="P29" s="51" t="str">
        <f t="shared" si="5"/>
        <v>NA</v>
      </c>
      <c r="Q29" s="82"/>
      <c r="R29" s="50"/>
      <c r="S29" s="92"/>
    </row>
    <row r="30" spans="1:35">
      <c r="A30" s="61" t="s">
        <v>134</v>
      </c>
      <c r="B30" s="60"/>
      <c r="C30" s="40"/>
      <c r="D30" s="44"/>
      <c r="E30" s="11"/>
      <c r="F30" s="40"/>
      <c r="G30" s="44"/>
      <c r="H30" s="11"/>
      <c r="I30" s="40"/>
      <c r="J30" s="44"/>
      <c r="K30" s="11"/>
      <c r="L30" s="40"/>
      <c r="M30" s="44"/>
      <c r="N30" s="11"/>
      <c r="O30" s="40"/>
      <c r="P30" s="44"/>
      <c r="Q30" s="46"/>
      <c r="R30" s="9"/>
      <c r="S30" s="91"/>
    </row>
    <row r="31" spans="1:35">
      <c r="A31" s="2" t="s">
        <v>135</v>
      </c>
      <c r="B31" s="60"/>
      <c r="C31"/>
      <c r="E31" s="11"/>
      <c r="H31" s="11"/>
      <c r="K31" s="11"/>
      <c r="N31" s="11"/>
      <c r="Q31" s="46"/>
      <c r="R31" s="9"/>
      <c r="S31" s="91"/>
    </row>
    <row r="32" spans="1:35">
      <c r="A32" s="2" t="s">
        <v>136</v>
      </c>
      <c r="B32" s="60"/>
      <c r="C32"/>
      <c r="E32" s="11"/>
      <c r="H32" s="11"/>
      <c r="K32" s="11"/>
      <c r="N32" s="11"/>
      <c r="Q32" s="46"/>
      <c r="R32" s="9"/>
      <c r="S32" s="91"/>
    </row>
    <row r="33" spans="1:19">
      <c r="A33" s="2" t="s">
        <v>137</v>
      </c>
      <c r="B33" s="60"/>
      <c r="C33"/>
      <c r="E33" s="11"/>
      <c r="H33" s="11"/>
      <c r="K33" s="11"/>
      <c r="N33" s="11"/>
      <c r="Q33" s="46"/>
      <c r="R33" s="9"/>
      <c r="S33" s="91"/>
    </row>
    <row r="34" spans="1:19">
      <c r="A34" s="62" t="s">
        <v>195</v>
      </c>
      <c r="B34" s="60"/>
      <c r="C34"/>
      <c r="E34" s="11"/>
      <c r="H34" s="11"/>
      <c r="K34" s="11"/>
      <c r="N34" s="11"/>
      <c r="Q34" s="46"/>
      <c r="R34" s="9"/>
      <c r="S34" s="91"/>
    </row>
    <row r="35" spans="1:19" ht="39">
      <c r="A35" s="5" t="s">
        <v>140</v>
      </c>
      <c r="B35" s="8"/>
      <c r="C35" s="31"/>
      <c r="D35" s="10"/>
      <c r="E35" s="8"/>
      <c r="F35" s="9"/>
      <c r="G35" s="10"/>
      <c r="H35" s="8"/>
      <c r="I35" s="9"/>
      <c r="J35" s="10"/>
      <c r="K35" s="8"/>
      <c r="L35" s="9"/>
      <c r="M35" s="10"/>
      <c r="N35" s="8"/>
      <c r="O35" s="9"/>
      <c r="P35" s="10"/>
      <c r="Q35" s="46"/>
      <c r="R35" s="9"/>
      <c r="S35" s="87"/>
    </row>
    <row r="36" spans="1:19">
      <c r="A36" s="5"/>
      <c r="B36" s="8"/>
      <c r="C36" s="31"/>
      <c r="D36" s="10"/>
      <c r="E36" s="8"/>
      <c r="F36" s="9"/>
      <c r="G36" s="10"/>
      <c r="H36" s="8"/>
      <c r="I36" s="9"/>
      <c r="J36" s="10"/>
      <c r="K36" s="8"/>
      <c r="L36" s="9"/>
      <c r="M36" s="10"/>
      <c r="N36" s="8"/>
      <c r="O36" s="9"/>
      <c r="P36" s="10"/>
      <c r="Q36" s="46"/>
      <c r="R36" s="9"/>
      <c r="S36" s="87"/>
    </row>
    <row r="37" spans="1:19" ht="26">
      <c r="A37" s="5" t="s">
        <v>141</v>
      </c>
      <c r="B37" s="8"/>
      <c r="C37" s="31"/>
      <c r="D37" s="10"/>
      <c r="E37" s="8"/>
      <c r="F37" s="9"/>
      <c r="G37" s="10"/>
      <c r="H37" s="8"/>
      <c r="I37" s="9"/>
      <c r="J37" s="10"/>
      <c r="K37" s="8"/>
      <c r="L37" s="9"/>
      <c r="M37" s="10"/>
      <c r="N37" s="8"/>
      <c r="O37" s="9"/>
      <c r="P37" s="10"/>
      <c r="Q37" s="46"/>
      <c r="R37" s="9"/>
      <c r="S37" s="87"/>
    </row>
    <row r="38" spans="1:19">
      <c r="A38" s="5" t="s">
        <v>142</v>
      </c>
      <c r="B38" s="11">
        <v>0.12</v>
      </c>
      <c r="C38" s="31"/>
      <c r="D38" s="10"/>
      <c r="E38" s="11"/>
      <c r="F38" s="9"/>
      <c r="G38" s="10"/>
      <c r="H38" s="11"/>
      <c r="I38" s="9"/>
      <c r="J38" s="10"/>
      <c r="K38" s="11"/>
      <c r="L38" s="9"/>
      <c r="M38" s="10"/>
      <c r="N38" s="11"/>
      <c r="O38" s="9"/>
      <c r="P38" s="10"/>
      <c r="Q38" s="46"/>
      <c r="R38" s="9"/>
      <c r="S38" s="87"/>
    </row>
    <row r="39" spans="1:19">
      <c r="A39" s="5"/>
      <c r="B39" s="8"/>
      <c r="C39" s="31"/>
      <c r="D39" s="10"/>
      <c r="E39" s="8"/>
      <c r="F39" s="9"/>
      <c r="G39" s="10"/>
      <c r="H39" s="8"/>
      <c r="I39" s="9"/>
      <c r="J39" s="10"/>
      <c r="K39" s="8"/>
      <c r="L39" s="9"/>
      <c r="M39" s="10"/>
      <c r="N39" s="8"/>
      <c r="O39" s="9"/>
      <c r="P39" s="10"/>
      <c r="Q39" s="46"/>
      <c r="R39" s="9"/>
      <c r="S39" s="87"/>
    </row>
    <row r="40" spans="1:19" ht="26">
      <c r="A40" s="24" t="s">
        <v>144</v>
      </c>
      <c r="B40" s="6"/>
      <c r="C40" s="32"/>
      <c r="D40" s="7"/>
      <c r="E40" s="6"/>
      <c r="F40" s="1"/>
      <c r="G40" s="7"/>
      <c r="H40" s="6"/>
      <c r="I40" s="1"/>
      <c r="J40" s="7"/>
      <c r="K40" s="6"/>
      <c r="L40" s="1"/>
      <c r="M40" s="7"/>
      <c r="N40" s="6"/>
      <c r="O40" s="1"/>
      <c r="P40" s="7"/>
      <c r="Q40" s="83"/>
      <c r="R40" s="1"/>
      <c r="S40" s="89"/>
    </row>
    <row r="41" spans="1:19">
      <c r="A41" s="74" t="s">
        <v>145</v>
      </c>
      <c r="B41" s="191"/>
      <c r="C41" s="192"/>
      <c r="D41" s="193"/>
      <c r="E41" s="191"/>
      <c r="F41" s="192"/>
      <c r="G41" s="193"/>
      <c r="H41" s="191"/>
      <c r="I41" s="192"/>
      <c r="J41" s="193"/>
      <c r="K41" s="191"/>
      <c r="L41" s="192"/>
      <c r="M41" s="193"/>
      <c r="N41" s="191"/>
      <c r="O41" s="192"/>
      <c r="P41" s="193"/>
      <c r="Q41" s="194"/>
      <c r="R41" s="192"/>
      <c r="S41" s="195"/>
    </row>
    <row r="42" spans="1:19">
      <c r="A42" s="53" t="s">
        <v>202</v>
      </c>
      <c r="B42" s="49">
        <f>CAE!B17</f>
        <v>83611</v>
      </c>
      <c r="C42" s="50">
        <f>CAE!C17</f>
        <v>83611</v>
      </c>
      <c r="D42" s="51">
        <f>CAE!D17</f>
        <v>73264</v>
      </c>
      <c r="E42" s="49">
        <f>CAE!E17</f>
        <v>83611</v>
      </c>
      <c r="F42" s="50">
        <f>CAE!F17</f>
        <v>83611</v>
      </c>
      <c r="G42" s="51">
        <f>CAE!G17</f>
        <v>23531.63</v>
      </c>
      <c r="H42" s="49">
        <f>CAE!H17</f>
        <v>29300.63</v>
      </c>
      <c r="I42" s="50">
        <f>CAE!I17</f>
        <v>29300.63</v>
      </c>
      <c r="J42" s="51">
        <f>CAE!J17</f>
        <v>23269.996000000003</v>
      </c>
      <c r="K42" s="49">
        <f>CAE!K17</f>
        <v>29300.63</v>
      </c>
      <c r="L42" s="50">
        <f>CAE!L17</f>
        <v>29300.63</v>
      </c>
      <c r="M42" s="51">
        <f>CAE!M17</f>
        <v>24150.930000000004</v>
      </c>
      <c r="N42" s="49">
        <f>CAE!N17</f>
        <v>29300.63</v>
      </c>
      <c r="O42" s="50">
        <f>CAE!O17</f>
        <v>29300.63</v>
      </c>
      <c r="P42" s="51">
        <f>CAE!P17</f>
        <v>22905.277000000006</v>
      </c>
      <c r="Q42" s="82"/>
      <c r="R42" s="50"/>
      <c r="S42" s="185"/>
    </row>
    <row r="43" spans="1:19">
      <c r="A43" s="3" t="s">
        <v>203</v>
      </c>
      <c r="B43" s="78">
        <f t="shared" ref="B43:P43" si="6">B17</f>
        <v>75000</v>
      </c>
      <c r="C43" s="184">
        <f t="shared" si="6"/>
        <v>70000</v>
      </c>
      <c r="D43" s="130">
        <f t="shared" si="6"/>
        <v>67744.78</v>
      </c>
      <c r="E43" s="78">
        <f t="shared" si="6"/>
        <v>75000</v>
      </c>
      <c r="F43" s="184">
        <f t="shared" si="6"/>
        <v>70000</v>
      </c>
      <c r="G43" s="130">
        <f t="shared" si="6"/>
        <v>65678.959999999992</v>
      </c>
      <c r="H43" s="184">
        <f t="shared" si="6"/>
        <v>75000</v>
      </c>
      <c r="I43" s="184">
        <f t="shared" si="6"/>
        <v>70000</v>
      </c>
      <c r="J43" s="184">
        <f t="shared" si="6"/>
        <v>72051.92</v>
      </c>
      <c r="K43" s="78">
        <f t="shared" si="6"/>
        <v>75000</v>
      </c>
      <c r="L43" s="184">
        <f t="shared" si="6"/>
        <v>70000</v>
      </c>
      <c r="M43" s="130">
        <f t="shared" si="6"/>
        <v>75844.800000000003</v>
      </c>
      <c r="N43" s="78">
        <f t="shared" si="6"/>
        <v>75000</v>
      </c>
      <c r="O43" s="184">
        <f t="shared" si="6"/>
        <v>70000</v>
      </c>
      <c r="P43" s="130">
        <f t="shared" si="6"/>
        <v>70014.990000000005</v>
      </c>
      <c r="Q43" s="1"/>
      <c r="R43" s="1"/>
      <c r="S43" s="196"/>
    </row>
    <row r="44" spans="1:19" s="135" customFormat="1">
      <c r="A44" s="190" t="s">
        <v>198</v>
      </c>
      <c r="B44" s="200">
        <f>B42-B43</f>
        <v>8611</v>
      </c>
      <c r="C44" s="198">
        <f t="shared" ref="C44:P44" si="7">C42-C43</f>
        <v>13611</v>
      </c>
      <c r="D44" s="201">
        <f t="shared" si="7"/>
        <v>5519.2200000000012</v>
      </c>
      <c r="E44" s="200">
        <f t="shared" si="7"/>
        <v>8611</v>
      </c>
      <c r="F44" s="198">
        <f t="shared" si="7"/>
        <v>13611</v>
      </c>
      <c r="G44" s="201">
        <f t="shared" si="7"/>
        <v>-42147.329999999987</v>
      </c>
      <c r="H44" s="198">
        <f t="shared" si="7"/>
        <v>-45699.369999999995</v>
      </c>
      <c r="I44" s="198">
        <f t="shared" si="7"/>
        <v>-40699.369999999995</v>
      </c>
      <c r="J44" s="198">
        <f t="shared" si="7"/>
        <v>-48781.923999999999</v>
      </c>
      <c r="K44" s="200">
        <f t="shared" si="7"/>
        <v>-45699.369999999995</v>
      </c>
      <c r="L44" s="198">
        <f t="shared" si="7"/>
        <v>-40699.369999999995</v>
      </c>
      <c r="M44" s="201">
        <f t="shared" si="7"/>
        <v>-51693.869999999995</v>
      </c>
      <c r="N44" s="200">
        <f t="shared" si="7"/>
        <v>-45699.369999999995</v>
      </c>
      <c r="O44" s="198">
        <f t="shared" si="7"/>
        <v>-40699.369999999995</v>
      </c>
      <c r="P44" s="201">
        <f t="shared" si="7"/>
        <v>-47109.713000000003</v>
      </c>
      <c r="Q44" s="197"/>
      <c r="R44" s="197"/>
      <c r="S44" s="199"/>
    </row>
    <row r="45" spans="1:19">
      <c r="A45" s="3" t="s">
        <v>204</v>
      </c>
      <c r="B45" s="55"/>
      <c r="C45" s="56"/>
      <c r="D45" s="57">
        <f>D44</f>
        <v>5519.2200000000012</v>
      </c>
      <c r="E45" s="55"/>
      <c r="F45" s="56"/>
      <c r="G45" s="57">
        <f>D45+G44</f>
        <v>-36628.109999999986</v>
      </c>
      <c r="H45" s="55"/>
      <c r="I45" s="56"/>
      <c r="J45" s="198">
        <f>G45+J44</f>
        <v>-85410.033999999985</v>
      </c>
      <c r="K45" s="55"/>
      <c r="L45" s="56"/>
      <c r="M45" s="198">
        <f>J45+M44</f>
        <v>-137103.90399999998</v>
      </c>
      <c r="N45" s="55"/>
      <c r="O45" s="56"/>
      <c r="P45" s="198">
        <f>M45+P44</f>
        <v>-184213.61699999997</v>
      </c>
      <c r="Q45" s="24"/>
      <c r="R45" s="1"/>
      <c r="S45" s="89"/>
    </row>
    <row r="46" spans="1:19">
      <c r="A46" s="2"/>
      <c r="B46" s="49"/>
      <c r="C46" s="50"/>
      <c r="D46" s="51"/>
      <c r="E46" s="49"/>
      <c r="F46" s="50"/>
      <c r="G46" s="51"/>
      <c r="H46" s="49"/>
      <c r="I46" s="50"/>
      <c r="J46" s="51"/>
      <c r="K46" s="49"/>
      <c r="L46" s="50"/>
      <c r="M46" s="51"/>
      <c r="N46" s="49"/>
      <c r="O46" s="50"/>
      <c r="P46" s="51"/>
      <c r="Q46" s="50"/>
      <c r="R46" s="50"/>
      <c r="S46" s="92"/>
    </row>
    <row r="47" spans="1:19">
      <c r="A47" s="3"/>
      <c r="B47" s="5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77"/>
      <c r="R47" s="56"/>
      <c r="S47" s="93"/>
    </row>
    <row r="48" spans="1:19">
      <c r="A48" s="53"/>
      <c r="B48" s="49"/>
      <c r="C48" s="50"/>
      <c r="D48" s="51"/>
      <c r="E48" s="49"/>
      <c r="F48" s="50"/>
      <c r="G48" s="51"/>
      <c r="H48" s="49"/>
      <c r="I48" s="50"/>
      <c r="J48" s="51"/>
      <c r="K48" s="49"/>
      <c r="L48" s="50"/>
      <c r="M48" s="51"/>
      <c r="N48" s="49"/>
      <c r="O48" s="50"/>
      <c r="P48" s="51"/>
      <c r="Q48" s="50"/>
      <c r="R48" s="50"/>
      <c r="S48" s="92"/>
    </row>
    <row r="49" spans="1:19">
      <c r="A49" s="24"/>
      <c r="B49" s="78"/>
      <c r="C49" s="32"/>
      <c r="D49" s="7"/>
      <c r="E49" s="6"/>
      <c r="F49" s="1"/>
      <c r="G49" s="7"/>
      <c r="H49" s="6"/>
      <c r="I49" s="1"/>
      <c r="J49" s="7"/>
      <c r="K49" s="6"/>
      <c r="L49" s="1"/>
      <c r="M49" s="7"/>
      <c r="N49" s="6"/>
      <c r="O49" s="1"/>
      <c r="P49" s="7"/>
      <c r="Q49" s="1"/>
      <c r="R49" s="1"/>
      <c r="S49" s="89"/>
    </row>
    <row r="50" spans="1:19">
      <c r="A50" s="5"/>
      <c r="B50" s="8"/>
      <c r="C50" s="31"/>
      <c r="D50" s="10"/>
      <c r="E50" s="8"/>
      <c r="F50" s="9"/>
      <c r="G50" s="10"/>
      <c r="H50" s="8"/>
      <c r="I50" s="9"/>
      <c r="J50" s="10"/>
      <c r="K50" s="8"/>
      <c r="L50" s="9"/>
      <c r="M50" s="10"/>
      <c r="N50" s="8"/>
      <c r="O50" s="9"/>
      <c r="P50" s="10"/>
      <c r="Q50" s="9"/>
      <c r="R50" s="9"/>
      <c r="S50" s="87"/>
    </row>
    <row r="51" spans="1:19">
      <c r="A51" s="25" t="s">
        <v>179</v>
      </c>
      <c r="B51" s="8"/>
      <c r="C51" s="31"/>
      <c r="D51" s="10"/>
      <c r="E51" s="8"/>
      <c r="F51" s="9"/>
      <c r="G51" s="10"/>
      <c r="H51" s="8"/>
      <c r="I51" s="9"/>
      <c r="J51" s="10"/>
      <c r="K51" s="8"/>
      <c r="L51" s="9"/>
      <c r="M51" s="10"/>
      <c r="N51" s="8"/>
      <c r="O51" s="9"/>
      <c r="P51" s="10"/>
      <c r="Q51" s="9"/>
      <c r="R51" s="9"/>
      <c r="S51" s="87"/>
    </row>
    <row r="52" spans="1:19">
      <c r="A52" s="5" t="s">
        <v>156</v>
      </c>
      <c r="B52" s="16"/>
      <c r="C52" s="31"/>
      <c r="D52" s="10"/>
      <c r="E52" s="8"/>
      <c r="F52" s="9"/>
      <c r="G52" s="10"/>
      <c r="H52" s="8"/>
      <c r="I52" s="9"/>
      <c r="J52" s="10"/>
      <c r="K52" s="8"/>
      <c r="L52" s="9"/>
      <c r="M52" s="10"/>
      <c r="N52" s="8"/>
      <c r="O52" s="9"/>
      <c r="P52" s="10"/>
      <c r="Q52" s="9"/>
      <c r="R52" s="9"/>
      <c r="S52" s="87"/>
    </row>
    <row r="53" spans="1:19">
      <c r="A53" s="5" t="s">
        <v>157</v>
      </c>
      <c r="B53" s="16"/>
      <c r="C53" s="31"/>
      <c r="D53" s="10"/>
      <c r="E53" s="8"/>
      <c r="F53" s="9"/>
      <c r="G53" s="10"/>
      <c r="H53" s="8"/>
      <c r="I53" s="9"/>
      <c r="J53" s="10"/>
      <c r="K53" s="8"/>
      <c r="L53" s="9"/>
      <c r="M53" s="10"/>
      <c r="N53" s="8"/>
      <c r="O53" s="9"/>
      <c r="P53" s="10"/>
      <c r="Q53" s="9"/>
      <c r="R53" s="9"/>
      <c r="S53" s="87"/>
    </row>
    <row r="54" spans="1:19">
      <c r="A54" s="5" t="s">
        <v>158</v>
      </c>
      <c r="B54" s="16"/>
      <c r="C54" s="31"/>
      <c r="D54" s="10"/>
      <c r="E54" s="8"/>
      <c r="F54" s="9"/>
      <c r="G54" s="10"/>
      <c r="H54" s="8"/>
      <c r="I54" s="9"/>
      <c r="J54" s="10"/>
      <c r="K54" s="8"/>
      <c r="L54" s="9"/>
      <c r="M54" s="10"/>
      <c r="N54" s="8"/>
      <c r="O54" s="9"/>
      <c r="P54" s="10"/>
      <c r="Q54" s="9"/>
      <c r="R54" s="9"/>
      <c r="S54" s="87"/>
    </row>
    <row r="55" spans="1:19">
      <c r="A55" s="5" t="s">
        <v>180</v>
      </c>
      <c r="B55" s="16"/>
      <c r="C55" s="31"/>
      <c r="D55" s="10"/>
      <c r="E55" s="8"/>
      <c r="F55" s="9"/>
      <c r="G55" s="10"/>
      <c r="H55" s="8"/>
      <c r="I55" s="9"/>
      <c r="J55" s="10"/>
      <c r="K55" s="8"/>
      <c r="L55" s="9"/>
      <c r="M55" s="10"/>
      <c r="N55" s="8"/>
      <c r="O55" s="9"/>
      <c r="P55" s="10"/>
      <c r="Q55" s="9"/>
      <c r="R55" s="9"/>
      <c r="S55" s="87"/>
    </row>
    <row r="56" spans="1:19">
      <c r="A56" t="s">
        <v>160</v>
      </c>
      <c r="B56" s="16"/>
      <c r="C56" s="31"/>
      <c r="D56" s="10"/>
      <c r="E56" s="8"/>
      <c r="F56" s="9"/>
      <c r="G56" s="10"/>
      <c r="H56" s="8"/>
      <c r="I56" s="9"/>
      <c r="J56" s="10"/>
      <c r="K56" s="8"/>
      <c r="L56" s="9"/>
      <c r="M56" s="10"/>
      <c r="N56" s="8"/>
      <c r="O56" s="9"/>
      <c r="P56" s="10"/>
      <c r="Q56" s="9"/>
      <c r="R56" s="9"/>
      <c r="S56" s="87"/>
    </row>
    <row r="57" spans="1:19">
      <c r="A57" t="s">
        <v>161</v>
      </c>
      <c r="B57" s="16"/>
      <c r="C57" s="31"/>
      <c r="D57" s="10"/>
      <c r="E57" s="8"/>
      <c r="F57" s="9"/>
      <c r="G57" s="10"/>
      <c r="H57" s="8"/>
      <c r="I57" s="9"/>
      <c r="J57" s="10"/>
      <c r="K57" s="8"/>
      <c r="L57" s="9"/>
      <c r="M57" s="10"/>
      <c r="N57" s="8"/>
      <c r="O57" s="9"/>
      <c r="P57" s="10"/>
      <c r="Q57" s="9"/>
      <c r="R57" s="9"/>
      <c r="S57" s="87"/>
    </row>
    <row r="58" spans="1:19">
      <c r="A58" t="s">
        <v>162</v>
      </c>
      <c r="B58" s="16"/>
      <c r="C58" s="31"/>
      <c r="D58" s="10"/>
      <c r="E58" s="8"/>
      <c r="F58" s="9"/>
      <c r="G58" s="10"/>
      <c r="H58" s="8"/>
      <c r="I58" s="9"/>
      <c r="J58" s="10"/>
      <c r="K58" s="8"/>
      <c r="L58" s="9"/>
      <c r="M58" s="10"/>
      <c r="N58" s="8"/>
      <c r="O58" s="9"/>
      <c r="P58" s="10"/>
      <c r="Q58" s="9"/>
      <c r="R58" s="9"/>
      <c r="S58" s="87"/>
    </row>
    <row r="59" spans="1:19">
      <c r="A59" t="s">
        <v>163</v>
      </c>
      <c r="B59" s="16"/>
      <c r="C59" s="31"/>
      <c r="D59" s="10"/>
      <c r="E59" s="8"/>
      <c r="F59" s="9"/>
      <c r="G59" s="10"/>
      <c r="H59" s="8"/>
      <c r="I59" s="9"/>
      <c r="J59" s="10"/>
      <c r="K59" s="8"/>
      <c r="L59" s="9"/>
      <c r="M59" s="10"/>
      <c r="N59" s="8"/>
      <c r="O59" s="9"/>
      <c r="P59" s="10"/>
      <c r="Q59" s="9"/>
      <c r="R59" s="9"/>
      <c r="S59" s="87"/>
    </row>
    <row r="60" spans="1:19">
      <c r="A60" t="s">
        <v>87</v>
      </c>
      <c r="B60" s="8"/>
      <c r="C60" s="31"/>
      <c r="D60" s="10"/>
      <c r="E60" s="8"/>
      <c r="F60" s="9"/>
      <c r="G60" s="10"/>
      <c r="H60" s="8"/>
      <c r="I60" s="9"/>
      <c r="J60" s="10"/>
      <c r="K60" s="8"/>
      <c r="L60" s="9"/>
      <c r="M60" s="10"/>
      <c r="N60" s="8"/>
      <c r="O60" s="9"/>
      <c r="P60" s="10"/>
      <c r="Q60" s="9"/>
      <c r="R60" s="9"/>
      <c r="S60" s="87"/>
    </row>
    <row r="61" spans="1:19">
      <c r="A61" t="s">
        <v>181</v>
      </c>
      <c r="B61" s="8"/>
      <c r="C61" s="31"/>
      <c r="D61" s="10"/>
      <c r="E61" s="8"/>
      <c r="F61" s="9"/>
      <c r="G61" s="10"/>
      <c r="H61" s="8"/>
      <c r="I61" s="9"/>
      <c r="J61" s="10"/>
      <c r="K61" s="8"/>
      <c r="L61" s="9"/>
      <c r="M61" s="10"/>
      <c r="N61" s="8"/>
      <c r="O61" s="9"/>
      <c r="P61" s="10"/>
      <c r="Q61" s="9"/>
      <c r="R61" s="9"/>
      <c r="S61" s="87"/>
    </row>
    <row r="62" spans="1:19" ht="14" thickBot="1">
      <c r="B62" s="12"/>
      <c r="C62" s="33"/>
      <c r="D62" s="14"/>
      <c r="E62" s="12"/>
      <c r="F62" s="13"/>
      <c r="G62" s="14"/>
      <c r="H62" s="12"/>
      <c r="I62" s="13"/>
      <c r="J62" s="14"/>
      <c r="K62" s="12"/>
      <c r="L62" s="13"/>
      <c r="M62" s="14"/>
      <c r="N62" s="12"/>
      <c r="O62" s="13"/>
      <c r="P62" s="14"/>
      <c r="Q62" s="13"/>
      <c r="R62" s="13"/>
      <c r="S62" s="96"/>
    </row>
  </sheetData>
  <printOptions gridLines="1" gridLinesSet="0"/>
  <pageMargins left="0.75" right="0.75" top="1" bottom="1" header="0.5" footer="0.5"/>
  <pageSetup paperSize="0" scale="25" firstPageNumber="23" orientation="landscape" useFirstPageNumber="1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68"/>
  <sheetViews>
    <sheetView showZeros="0" workbookViewId="0">
      <pane xSplit="1" ySplit="4" topLeftCell="L5" activePane="bottomRight" state="frozenSplit"/>
      <selection pane="topRight"/>
      <selection pane="bottomLeft" activeCell="A4" sqref="A4"/>
      <selection pane="bottomRight" activeCell="B19" sqref="B19:P19"/>
    </sheetView>
  </sheetViews>
  <sheetFormatPr baseColWidth="10" defaultColWidth="11.42578125" defaultRowHeight="13" x14ac:dyDescent="0"/>
  <cols>
    <col min="1" max="1" width="36.42578125" customWidth="1"/>
    <col min="2" max="2" width="9.28515625" customWidth="1"/>
    <col min="3" max="3" width="9.42578125" customWidth="1"/>
    <col min="4" max="4" width="9.140625" customWidth="1"/>
    <col min="5" max="5" width="9.28515625" customWidth="1"/>
    <col min="6" max="6" width="9.42578125" customWidth="1"/>
    <col min="7" max="7" width="9.140625" customWidth="1"/>
    <col min="8" max="8" width="9.28515625" customWidth="1"/>
    <col min="9" max="9" width="10.85546875" customWidth="1"/>
    <col min="10" max="10" width="8.28515625" customWidth="1"/>
    <col min="11" max="11" width="9.28515625" customWidth="1"/>
    <col min="12" max="12" width="10.85546875" customWidth="1"/>
    <col min="13" max="13" width="8.28515625" customWidth="1"/>
    <col min="14" max="14" width="9.28515625" customWidth="1"/>
    <col min="15" max="15" width="10.85546875" customWidth="1"/>
    <col min="16" max="16" width="8.28515625" customWidth="1"/>
    <col min="17" max="17" width="9.28515625" customWidth="1"/>
    <col min="18" max="18" width="10.85546875" customWidth="1"/>
    <col min="19" max="19" width="9.28515625" customWidth="1"/>
  </cols>
  <sheetData>
    <row r="1" spans="1:35" ht="14" thickBot="1">
      <c r="U1" s="97"/>
      <c r="V1" s="97"/>
      <c r="W1" s="97"/>
      <c r="X1" s="97"/>
      <c r="Y1" s="97"/>
      <c r="Z1" s="97"/>
      <c r="AA1" s="97"/>
      <c r="AB1" s="97"/>
      <c r="AC1" s="97"/>
    </row>
    <row r="2" spans="1:35">
      <c r="B2" s="15">
        <v>1996</v>
      </c>
      <c r="C2" s="18">
        <v>1996</v>
      </c>
      <c r="D2" s="19">
        <v>1996</v>
      </c>
      <c r="E2" s="15">
        <v>1997</v>
      </c>
      <c r="F2" s="18">
        <v>1997</v>
      </c>
      <c r="G2" s="19">
        <v>1997</v>
      </c>
      <c r="H2" s="15">
        <v>1997</v>
      </c>
      <c r="I2" s="18">
        <v>1997</v>
      </c>
      <c r="J2" s="19">
        <v>1997</v>
      </c>
      <c r="K2" s="15">
        <v>1997</v>
      </c>
      <c r="L2" s="18">
        <v>1997</v>
      </c>
      <c r="M2" s="19">
        <v>1997</v>
      </c>
      <c r="N2" s="15">
        <v>1997</v>
      </c>
      <c r="O2" s="18">
        <v>1997</v>
      </c>
      <c r="P2" s="19">
        <v>1997</v>
      </c>
      <c r="Q2" s="15">
        <v>1997</v>
      </c>
      <c r="R2" s="18">
        <v>1997</v>
      </c>
      <c r="S2" s="19">
        <v>1997</v>
      </c>
      <c r="U2" s="98" t="s">
        <v>103</v>
      </c>
      <c r="V2" s="98" t="s">
        <v>103</v>
      </c>
      <c r="W2" s="98" t="s">
        <v>103</v>
      </c>
      <c r="X2" s="98" t="s">
        <v>103</v>
      </c>
      <c r="Y2" s="98" t="s">
        <v>103</v>
      </c>
      <c r="Z2" s="98" t="s">
        <v>103</v>
      </c>
      <c r="AA2" s="98" t="s">
        <v>103</v>
      </c>
      <c r="AB2" s="98" t="s">
        <v>103</v>
      </c>
      <c r="AC2" s="98" t="s">
        <v>103</v>
      </c>
      <c r="AD2" s="98" t="s">
        <v>103</v>
      </c>
      <c r="AE2" s="98" t="s">
        <v>103</v>
      </c>
      <c r="AF2" s="98" t="s">
        <v>103</v>
      </c>
      <c r="AG2" s="98"/>
      <c r="AH2" s="98"/>
      <c r="AI2" s="98"/>
    </row>
    <row r="3" spans="1:35">
      <c r="B3" s="16" t="s">
        <v>104</v>
      </c>
      <c r="C3" s="20" t="s">
        <v>104</v>
      </c>
      <c r="D3" s="21" t="s">
        <v>104</v>
      </c>
      <c r="E3" s="16" t="s">
        <v>105</v>
      </c>
      <c r="F3" s="20" t="s">
        <v>105</v>
      </c>
      <c r="G3" s="21" t="s">
        <v>105</v>
      </c>
      <c r="H3" s="16" t="s">
        <v>106</v>
      </c>
      <c r="I3" s="20" t="s">
        <v>106</v>
      </c>
      <c r="J3" s="21" t="s">
        <v>106</v>
      </c>
      <c r="K3" s="16" t="s">
        <v>107</v>
      </c>
      <c r="L3" s="20" t="s">
        <v>108</v>
      </c>
      <c r="M3" s="21" t="s">
        <v>108</v>
      </c>
      <c r="N3" s="16" t="s">
        <v>104</v>
      </c>
      <c r="O3" s="20" t="s">
        <v>104</v>
      </c>
      <c r="P3" s="21" t="s">
        <v>104</v>
      </c>
      <c r="Q3" s="16" t="s">
        <v>109</v>
      </c>
      <c r="R3" s="20" t="s">
        <v>109</v>
      </c>
      <c r="S3" s="21" t="s">
        <v>109</v>
      </c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</row>
    <row r="4" spans="1:35">
      <c r="A4" s="1"/>
      <c r="B4" s="17" t="s">
        <v>111</v>
      </c>
      <c r="C4" s="22" t="s">
        <v>112</v>
      </c>
      <c r="D4" s="23" t="s">
        <v>103</v>
      </c>
      <c r="E4" s="17" t="s">
        <v>111</v>
      </c>
      <c r="F4" s="22" t="s">
        <v>112</v>
      </c>
      <c r="G4" s="23" t="s">
        <v>103</v>
      </c>
      <c r="H4" s="17" t="s">
        <v>111</v>
      </c>
      <c r="I4" s="22" t="s">
        <v>112</v>
      </c>
      <c r="J4" s="23" t="s">
        <v>103</v>
      </c>
      <c r="K4" s="17" t="s">
        <v>111</v>
      </c>
      <c r="L4" s="22" t="s">
        <v>112</v>
      </c>
      <c r="M4" s="23" t="s">
        <v>103</v>
      </c>
      <c r="N4" s="17" t="s">
        <v>111</v>
      </c>
      <c r="O4" s="22" t="s">
        <v>112</v>
      </c>
      <c r="P4" s="23" t="s">
        <v>103</v>
      </c>
      <c r="Q4" s="17" t="s">
        <v>111</v>
      </c>
      <c r="R4" s="22" t="s">
        <v>112</v>
      </c>
      <c r="S4" s="23" t="s">
        <v>103</v>
      </c>
      <c r="U4" s="100">
        <v>33877</v>
      </c>
      <c r="V4" s="100">
        <v>33908</v>
      </c>
      <c r="W4" s="100">
        <v>33938</v>
      </c>
      <c r="X4" s="100">
        <v>33969</v>
      </c>
      <c r="Y4" s="100">
        <v>34000</v>
      </c>
      <c r="Z4" s="100">
        <v>34028</v>
      </c>
      <c r="AA4" s="100">
        <v>34059</v>
      </c>
      <c r="AB4" s="100">
        <v>34089</v>
      </c>
      <c r="AC4" s="100">
        <v>34120</v>
      </c>
      <c r="AD4" s="100">
        <v>34150</v>
      </c>
      <c r="AE4" s="100">
        <v>34181</v>
      </c>
      <c r="AF4" s="100">
        <v>34212</v>
      </c>
      <c r="AG4" s="100">
        <v>34242</v>
      </c>
      <c r="AH4" s="100">
        <v>34273</v>
      </c>
      <c r="AI4" s="100">
        <v>34303</v>
      </c>
    </row>
    <row r="5" spans="1:35">
      <c r="B5" s="8"/>
      <c r="C5" s="9"/>
      <c r="D5" s="10"/>
      <c r="E5" s="8"/>
      <c r="F5" s="9"/>
      <c r="G5" s="10"/>
      <c r="H5" s="8"/>
      <c r="I5" s="9"/>
      <c r="J5" s="10"/>
      <c r="K5" s="8"/>
      <c r="L5" s="9"/>
      <c r="M5" s="10"/>
      <c r="N5" s="8"/>
      <c r="O5" s="9"/>
      <c r="P5" s="10"/>
      <c r="Q5" s="8"/>
      <c r="R5" s="9"/>
      <c r="S5" s="10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</row>
    <row r="6" spans="1:35">
      <c r="A6" s="37" t="s">
        <v>114</v>
      </c>
      <c r="B6" s="26"/>
      <c r="C6" s="31"/>
      <c r="D6" s="38">
        <f>U6+V6+W6</f>
        <v>0</v>
      </c>
      <c r="E6" s="26"/>
      <c r="F6" s="31"/>
      <c r="G6" s="38">
        <f>X6+Y6+Z6</f>
        <v>1200</v>
      </c>
      <c r="H6" s="26"/>
      <c r="I6" s="31"/>
      <c r="J6" s="38">
        <f>AA6+AB6+AC6</f>
        <v>1000</v>
      </c>
      <c r="K6" s="26"/>
      <c r="L6" s="31"/>
      <c r="M6" s="38"/>
      <c r="N6" s="26"/>
      <c r="O6" s="31"/>
      <c r="P6" s="38"/>
      <c r="Q6" s="26"/>
      <c r="R6" s="31"/>
      <c r="S6" s="38"/>
      <c r="U6" s="101"/>
      <c r="V6" s="101"/>
      <c r="W6" s="101"/>
      <c r="X6" s="101"/>
      <c r="Y6" s="101"/>
      <c r="Z6" s="101">
        <v>1200</v>
      </c>
      <c r="AA6" s="101"/>
      <c r="AB6" s="101"/>
      <c r="AC6" s="101">
        <v>1000</v>
      </c>
      <c r="AD6" s="101">
        <v>1044.3399999999999</v>
      </c>
      <c r="AE6" s="101">
        <v>625</v>
      </c>
      <c r="AF6" s="101">
        <v>500</v>
      </c>
      <c r="AG6" s="101">
        <v>545</v>
      </c>
      <c r="AH6" s="101">
        <v>695</v>
      </c>
      <c r="AI6" s="101">
        <v>500</v>
      </c>
    </row>
    <row r="7" spans="1:35">
      <c r="A7" s="2" t="s">
        <v>115</v>
      </c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"/>
      <c r="R7" s="9"/>
      <c r="S7" s="10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</row>
    <row r="8" spans="1:35">
      <c r="A8" s="37" t="s">
        <v>116</v>
      </c>
      <c r="B8" s="26"/>
      <c r="C8" s="31"/>
      <c r="D8" s="38">
        <f>U8+V8+W8</f>
        <v>87454.82</v>
      </c>
      <c r="E8" s="26"/>
      <c r="F8" s="31"/>
      <c r="G8" s="38">
        <f>X8+Y8+Z8</f>
        <v>48923.979999999996</v>
      </c>
      <c r="H8" s="26"/>
      <c r="I8" s="31"/>
      <c r="J8" s="38">
        <f>AA8+AB8+AC8</f>
        <v>46378.649999999994</v>
      </c>
      <c r="K8" s="26"/>
      <c r="L8" s="31"/>
      <c r="M8" s="38"/>
      <c r="N8" s="26"/>
      <c r="O8" s="31"/>
      <c r="P8" s="38"/>
      <c r="Q8" s="26"/>
      <c r="R8" s="31"/>
      <c r="S8" s="38"/>
      <c r="U8" s="101">
        <v>32941.279999999999</v>
      </c>
      <c r="V8" s="101">
        <v>30458.74</v>
      </c>
      <c r="W8" s="101">
        <v>24054.799999999999</v>
      </c>
      <c r="X8" s="101">
        <v>15176.57</v>
      </c>
      <c r="Y8" s="101">
        <v>27736.38</v>
      </c>
      <c r="Z8" s="101">
        <v>6011.03</v>
      </c>
      <c r="AA8" s="101">
        <v>18230.259999999998</v>
      </c>
      <c r="AB8" s="101">
        <v>16239.69</v>
      </c>
      <c r="AC8" s="101">
        <v>11908.7</v>
      </c>
      <c r="AD8" s="101">
        <v>6689.68</v>
      </c>
      <c r="AE8" s="101">
        <v>8118.83</v>
      </c>
      <c r="AF8" s="101">
        <v>7047.03</v>
      </c>
      <c r="AG8" s="101">
        <v>16461.759999999998</v>
      </c>
      <c r="AH8" s="101">
        <v>10292</v>
      </c>
      <c r="AI8" s="101">
        <v>15992</v>
      </c>
    </row>
    <row r="9" spans="1:35" ht="14" thickBot="1">
      <c r="A9" s="3"/>
      <c r="B9" s="6"/>
      <c r="C9" s="1"/>
      <c r="D9" s="7"/>
      <c r="E9" s="6"/>
      <c r="F9" s="1"/>
      <c r="G9" s="7"/>
      <c r="H9" s="6"/>
      <c r="I9" s="1"/>
      <c r="J9" s="7"/>
      <c r="K9" s="6"/>
      <c r="L9" s="1"/>
      <c r="M9" s="7"/>
      <c r="N9" s="6"/>
      <c r="O9" s="1"/>
      <c r="P9" s="7"/>
      <c r="Q9" s="6"/>
      <c r="R9" s="1"/>
      <c r="S9" s="7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</row>
    <row r="10" spans="1:35" ht="14" thickBot="1">
      <c r="A10" s="34" t="s">
        <v>117</v>
      </c>
      <c r="B10" s="35">
        <f>B6-B8</f>
        <v>0</v>
      </c>
      <c r="C10" s="32">
        <f t="shared" ref="C10:R10" si="0">C6-C8</f>
        <v>0</v>
      </c>
      <c r="D10" s="36">
        <f t="shared" si="0"/>
        <v>-87454.82</v>
      </c>
      <c r="E10" s="35">
        <f t="shared" si="0"/>
        <v>0</v>
      </c>
      <c r="F10" s="32">
        <f t="shared" si="0"/>
        <v>0</v>
      </c>
      <c r="G10" s="36">
        <f t="shared" si="0"/>
        <v>-47723.979999999996</v>
      </c>
      <c r="H10" s="35">
        <f t="shared" si="0"/>
        <v>0</v>
      </c>
      <c r="I10" s="32">
        <f t="shared" si="0"/>
        <v>0</v>
      </c>
      <c r="J10" s="36">
        <f t="shared" si="0"/>
        <v>-45378.649999999994</v>
      </c>
      <c r="K10" s="35">
        <f t="shared" si="0"/>
        <v>0</v>
      </c>
      <c r="L10" s="32">
        <f t="shared" si="0"/>
        <v>0</v>
      </c>
      <c r="M10" s="36">
        <f t="shared" si="0"/>
        <v>0</v>
      </c>
      <c r="N10" s="35">
        <f t="shared" si="0"/>
        <v>0</v>
      </c>
      <c r="O10" s="32">
        <f t="shared" si="0"/>
        <v>0</v>
      </c>
      <c r="P10" s="36">
        <f t="shared" si="0"/>
        <v>0</v>
      </c>
      <c r="Q10" s="35">
        <f t="shared" si="0"/>
        <v>0</v>
      </c>
      <c r="R10" s="32">
        <f t="shared" si="0"/>
        <v>0</v>
      </c>
      <c r="S10" s="36">
        <f>S6-S8</f>
        <v>0</v>
      </c>
      <c r="U10" s="102">
        <f t="shared" ref="U10:AI10" si="1">U6-U8</f>
        <v>-32941.279999999999</v>
      </c>
      <c r="V10" s="102">
        <f t="shared" si="1"/>
        <v>-30458.74</v>
      </c>
      <c r="W10" s="102">
        <f t="shared" si="1"/>
        <v>-24054.799999999999</v>
      </c>
      <c r="X10" s="102">
        <f t="shared" si="1"/>
        <v>-15176.57</v>
      </c>
      <c r="Y10" s="102">
        <f t="shared" si="1"/>
        <v>-27736.38</v>
      </c>
      <c r="Z10" s="102">
        <f t="shared" si="1"/>
        <v>-4811.03</v>
      </c>
      <c r="AA10" s="102">
        <f t="shared" si="1"/>
        <v>-18230.259999999998</v>
      </c>
      <c r="AB10" s="102">
        <f t="shared" si="1"/>
        <v>-16239.69</v>
      </c>
      <c r="AC10" s="102">
        <f t="shared" si="1"/>
        <v>-10908.7</v>
      </c>
      <c r="AD10" s="102">
        <f t="shared" si="1"/>
        <v>-5645.34</v>
      </c>
      <c r="AE10" s="102">
        <f t="shared" si="1"/>
        <v>-7493.83</v>
      </c>
      <c r="AF10" s="102">
        <f t="shared" si="1"/>
        <v>-6547.03</v>
      </c>
      <c r="AG10" s="102">
        <f t="shared" si="1"/>
        <v>-15916.759999999998</v>
      </c>
      <c r="AH10" s="102">
        <f t="shared" si="1"/>
        <v>-9597</v>
      </c>
      <c r="AI10" s="102">
        <f t="shared" si="1"/>
        <v>-15492</v>
      </c>
    </row>
    <row r="11" spans="1:35">
      <c r="B11" s="8"/>
      <c r="C11" s="9"/>
      <c r="D11" s="10"/>
      <c r="E11" s="8"/>
      <c r="F11" s="9"/>
      <c r="G11" s="10"/>
      <c r="H11" s="8"/>
      <c r="I11" s="9"/>
      <c r="J11" s="10"/>
      <c r="K11" s="8"/>
      <c r="L11" s="9"/>
      <c r="M11" s="10"/>
      <c r="N11" s="8"/>
      <c r="O11" s="9"/>
      <c r="P11" s="10"/>
      <c r="Q11" s="8"/>
      <c r="R11" s="9"/>
      <c r="S11" s="10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</row>
    <row r="12" spans="1:35">
      <c r="A12" s="47" t="s">
        <v>59</v>
      </c>
      <c r="B12" s="8"/>
      <c r="C12" s="9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"/>
      <c r="R12" s="9"/>
      <c r="S12" s="10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</row>
    <row r="13" spans="1:35">
      <c r="B13" s="8"/>
      <c r="C13" s="9"/>
      <c r="D13" s="10"/>
      <c r="E13" s="8"/>
      <c r="F13" s="9"/>
      <c r="G13" s="10"/>
      <c r="H13" s="8"/>
      <c r="I13" s="9"/>
      <c r="J13" s="10"/>
      <c r="K13" s="8"/>
      <c r="L13" s="9"/>
      <c r="M13" s="10"/>
      <c r="N13" s="8"/>
      <c r="O13" s="9"/>
      <c r="P13" s="10"/>
      <c r="Q13" s="8"/>
      <c r="R13" s="9"/>
      <c r="S13" s="10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</row>
    <row r="14" spans="1:35">
      <c r="A14" s="73" t="s">
        <v>199</v>
      </c>
      <c r="B14" s="11"/>
      <c r="C14" s="40"/>
      <c r="D14" s="44"/>
      <c r="E14" s="11"/>
      <c r="F14" s="40"/>
      <c r="G14" s="44"/>
      <c r="H14" s="11"/>
      <c r="I14" s="40"/>
      <c r="J14" s="44"/>
      <c r="K14" s="11"/>
      <c r="L14" s="40"/>
      <c r="M14" s="44"/>
      <c r="N14" s="11"/>
      <c r="O14" s="40"/>
      <c r="P14" s="44"/>
      <c r="Q14" s="11"/>
      <c r="R14" s="40"/>
      <c r="S14" s="44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</row>
    <row r="15" spans="1:35">
      <c r="A15" s="73" t="s">
        <v>200</v>
      </c>
      <c r="B15" s="49"/>
      <c r="C15" s="50"/>
      <c r="D15" s="51"/>
      <c r="E15" s="49"/>
      <c r="F15" s="50"/>
      <c r="G15" s="51"/>
      <c r="H15" s="49"/>
      <c r="I15" s="50"/>
      <c r="J15" s="51"/>
      <c r="K15" s="49"/>
      <c r="L15" s="50"/>
      <c r="M15" s="51"/>
      <c r="N15" s="49"/>
      <c r="O15" s="50"/>
      <c r="P15" s="51"/>
      <c r="Q15" s="49"/>
      <c r="R15" s="50"/>
      <c r="S15" s="51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</row>
    <row r="16" spans="1:35">
      <c r="A16" s="53" t="s">
        <v>168</v>
      </c>
      <c r="B16" s="49"/>
      <c r="C16" s="50"/>
      <c r="D16" s="51"/>
      <c r="E16" s="49"/>
      <c r="F16" s="50"/>
      <c r="G16" s="51"/>
      <c r="H16" s="49"/>
      <c r="I16" s="50"/>
      <c r="J16" s="51"/>
      <c r="K16" s="49"/>
      <c r="L16" s="50"/>
      <c r="M16" s="51"/>
      <c r="N16" s="49"/>
      <c r="O16" s="50"/>
      <c r="P16" s="51"/>
      <c r="Q16" s="49"/>
      <c r="R16" s="50"/>
      <c r="S16" s="51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</row>
    <row r="17" spans="1:35">
      <c r="A17" s="53" t="s">
        <v>119</v>
      </c>
      <c r="B17" s="49"/>
      <c r="C17" s="50"/>
      <c r="D17" s="51"/>
      <c r="E17" s="49"/>
      <c r="F17" s="50"/>
      <c r="G17" s="51"/>
      <c r="H17" s="49"/>
      <c r="I17" s="50"/>
      <c r="J17" s="51"/>
      <c r="K17" s="49"/>
      <c r="L17" s="50"/>
      <c r="M17" s="51"/>
      <c r="N17" s="49"/>
      <c r="O17" s="50"/>
      <c r="P17" s="51"/>
      <c r="Q17" s="49"/>
      <c r="R17" s="50"/>
      <c r="S17" s="51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</row>
    <row r="18" spans="1:35">
      <c r="A18" s="73" t="s">
        <v>169</v>
      </c>
      <c r="B18" s="11"/>
      <c r="C18" s="40"/>
      <c r="D18" s="44"/>
      <c r="E18" s="11"/>
      <c r="F18" s="40"/>
      <c r="G18" s="44"/>
      <c r="H18" s="11"/>
      <c r="I18" s="40"/>
      <c r="J18" s="44"/>
      <c r="K18" s="11"/>
      <c r="L18" s="40"/>
      <c r="M18" s="44"/>
      <c r="N18" s="11"/>
      <c r="O18" s="40"/>
      <c r="P18" s="44"/>
      <c r="Q18" s="11"/>
      <c r="R18" s="40"/>
      <c r="S18" s="44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</row>
    <row r="19" spans="1:35" s="144" customFormat="1">
      <c r="A19" s="126" t="s">
        <v>120</v>
      </c>
      <c r="B19" s="127">
        <f>(82250-50000)*3</f>
        <v>96750</v>
      </c>
      <c r="C19" s="129">
        <f>(82250-58000)*3</f>
        <v>72750</v>
      </c>
      <c r="D19" s="128">
        <f>U19+V19+W19</f>
        <v>87454.82</v>
      </c>
      <c r="E19" s="127">
        <v>52500</v>
      </c>
      <c r="F19" s="129">
        <v>48000</v>
      </c>
      <c r="G19" s="128">
        <f>X19+Y19+Z19</f>
        <v>47723.979999999996</v>
      </c>
      <c r="H19" s="127">
        <v>52500</v>
      </c>
      <c r="I19" s="129">
        <v>48000</v>
      </c>
      <c r="J19" s="128">
        <f>AA19+AB19+AC19</f>
        <v>45378.649999999994</v>
      </c>
      <c r="K19" s="127">
        <v>52500</v>
      </c>
      <c r="L19" s="129">
        <v>48000</v>
      </c>
      <c r="M19" s="128">
        <f>AD19+AE19+AF19</f>
        <v>19686.2</v>
      </c>
      <c r="N19" s="127">
        <v>52500</v>
      </c>
      <c r="O19" s="129">
        <v>48000</v>
      </c>
      <c r="P19" s="128">
        <f>AG19+AH19+AI19</f>
        <v>41005.759999999995</v>
      </c>
      <c r="Q19" s="127">
        <f>E19+H19+N19+N19</f>
        <v>210000</v>
      </c>
      <c r="R19" s="129">
        <f>F19+I19+O19+O19</f>
        <v>192000</v>
      </c>
      <c r="S19" s="128">
        <f>G19+J19+P19+P19</f>
        <v>175114.14999999997</v>
      </c>
      <c r="U19" s="124">
        <f t="shared" ref="U19:Z19" si="2">U8-U6</f>
        <v>32941.279999999999</v>
      </c>
      <c r="V19" s="124">
        <f t="shared" si="2"/>
        <v>30458.74</v>
      </c>
      <c r="W19" s="124">
        <f t="shared" si="2"/>
        <v>24054.799999999999</v>
      </c>
      <c r="X19" s="124">
        <f t="shared" si="2"/>
        <v>15176.57</v>
      </c>
      <c r="Y19" s="124">
        <f t="shared" si="2"/>
        <v>27736.38</v>
      </c>
      <c r="Z19" s="124">
        <f t="shared" si="2"/>
        <v>4811.03</v>
      </c>
      <c r="AA19" s="124">
        <f t="shared" ref="AA19:AI19" si="3">AA8-AA6</f>
        <v>18230.259999999998</v>
      </c>
      <c r="AB19" s="124">
        <f t="shared" si="3"/>
        <v>16239.69</v>
      </c>
      <c r="AC19" s="124">
        <f t="shared" si="3"/>
        <v>10908.7</v>
      </c>
      <c r="AD19" s="124">
        <f t="shared" si="3"/>
        <v>5645.34</v>
      </c>
      <c r="AE19" s="124">
        <f t="shared" si="3"/>
        <v>7493.83</v>
      </c>
      <c r="AF19" s="124">
        <f t="shared" si="3"/>
        <v>6547.03</v>
      </c>
      <c r="AG19" s="124">
        <f t="shared" si="3"/>
        <v>15916.759999999998</v>
      </c>
      <c r="AH19" s="124">
        <f t="shared" si="3"/>
        <v>9597</v>
      </c>
      <c r="AI19" s="124">
        <f t="shared" si="3"/>
        <v>15492</v>
      </c>
    </row>
    <row r="20" spans="1:35">
      <c r="A20" s="39" t="s">
        <v>121</v>
      </c>
      <c r="B20" s="35"/>
      <c r="C20" s="32"/>
      <c r="D20" s="36"/>
      <c r="E20" s="35"/>
      <c r="F20" s="32"/>
      <c r="G20" s="36"/>
      <c r="H20" s="35"/>
      <c r="I20" s="32"/>
      <c r="J20" s="36"/>
      <c r="K20" s="35"/>
      <c r="L20" s="32"/>
      <c r="M20" s="36"/>
      <c r="N20" s="35"/>
      <c r="O20" s="32"/>
      <c r="P20" s="36">
        <f>P19+P17+P15</f>
        <v>41005.759999999995</v>
      </c>
      <c r="Q20" s="35">
        <f>Q19+Q17+Q15</f>
        <v>210000</v>
      </c>
      <c r="R20" s="32">
        <f>R19+R17+R15</f>
        <v>192000</v>
      </c>
      <c r="S20" s="36">
        <f>S19+S17+S15</f>
        <v>175114.14999999997</v>
      </c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</row>
    <row r="21" spans="1:35">
      <c r="A21" s="53"/>
      <c r="B21" s="49"/>
      <c r="C21" s="50"/>
      <c r="D21" s="51"/>
      <c r="E21" s="49"/>
      <c r="F21" s="50"/>
      <c r="G21" s="51"/>
      <c r="H21" s="49"/>
      <c r="I21" s="50"/>
      <c r="J21" s="51"/>
      <c r="K21" s="49"/>
      <c r="L21" s="50"/>
      <c r="M21" s="51"/>
      <c r="N21" s="49"/>
      <c r="O21" s="50"/>
      <c r="P21" s="51"/>
      <c r="Q21" s="49"/>
      <c r="R21" s="50"/>
      <c r="S21" s="51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</row>
    <row r="22" spans="1:35" ht="14" thickBot="1">
      <c r="A22" s="34" t="s">
        <v>194</v>
      </c>
      <c r="B22" s="55">
        <f t="shared" ref="B22:S22" si="4">B19</f>
        <v>96750</v>
      </c>
      <c r="C22" s="56">
        <f t="shared" si="4"/>
        <v>72750</v>
      </c>
      <c r="D22" s="57">
        <f t="shared" si="4"/>
        <v>87454.82</v>
      </c>
      <c r="E22" s="55">
        <f t="shared" si="4"/>
        <v>52500</v>
      </c>
      <c r="F22" s="56">
        <f t="shared" si="4"/>
        <v>48000</v>
      </c>
      <c r="G22" s="57">
        <f t="shared" si="4"/>
        <v>47723.979999999996</v>
      </c>
      <c r="H22" s="55">
        <f t="shared" si="4"/>
        <v>52500</v>
      </c>
      <c r="I22" s="56">
        <f t="shared" si="4"/>
        <v>48000</v>
      </c>
      <c r="J22" s="57">
        <f t="shared" si="4"/>
        <v>45378.649999999994</v>
      </c>
      <c r="K22" s="55">
        <f t="shared" si="4"/>
        <v>52500</v>
      </c>
      <c r="L22" s="56">
        <f t="shared" si="4"/>
        <v>48000</v>
      </c>
      <c r="M22" s="57">
        <f t="shared" si="4"/>
        <v>19686.2</v>
      </c>
      <c r="N22" s="55">
        <f t="shared" si="4"/>
        <v>52500</v>
      </c>
      <c r="O22" s="56">
        <f t="shared" si="4"/>
        <v>48000</v>
      </c>
      <c r="P22" s="57">
        <f t="shared" si="4"/>
        <v>41005.759999999995</v>
      </c>
      <c r="Q22" s="55">
        <f t="shared" si="4"/>
        <v>210000</v>
      </c>
      <c r="R22" s="56">
        <f t="shared" si="4"/>
        <v>192000</v>
      </c>
      <c r="S22" s="57">
        <f t="shared" si="4"/>
        <v>175114.14999999997</v>
      </c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</row>
    <row r="23" spans="1:35" ht="14" thickBot="1">
      <c r="A23" s="67" t="s">
        <v>123</v>
      </c>
      <c r="B23" s="68"/>
      <c r="C23" s="69"/>
      <c r="D23" s="70"/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</row>
    <row r="24" spans="1:35">
      <c r="A24" s="59"/>
      <c r="B24" s="63"/>
      <c r="C24" s="64"/>
      <c r="D24" s="65"/>
      <c r="E24" s="63"/>
      <c r="F24" s="64"/>
      <c r="G24" s="65"/>
      <c r="H24" s="63"/>
      <c r="I24" s="64"/>
      <c r="J24" s="65"/>
      <c r="K24" s="63"/>
      <c r="L24" s="64"/>
      <c r="M24" s="65"/>
      <c r="N24" s="63"/>
      <c r="O24" s="64"/>
      <c r="P24" s="65"/>
      <c r="Q24" s="63"/>
      <c r="R24" s="64"/>
      <c r="S24" s="65"/>
    </row>
    <row r="25" spans="1:35">
      <c r="A25" s="59"/>
      <c r="B25" s="49"/>
      <c r="C25" s="50"/>
      <c r="D25" s="51"/>
      <c r="E25" s="49"/>
      <c r="F25" s="50"/>
      <c r="G25" s="51"/>
      <c r="H25" s="49"/>
      <c r="I25" s="50"/>
      <c r="J25" s="51"/>
      <c r="K25" s="49"/>
      <c r="L25" s="50"/>
      <c r="M25" s="51"/>
      <c r="N25" s="49"/>
      <c r="O25" s="50"/>
      <c r="P25" s="51"/>
      <c r="Q25" s="49"/>
      <c r="R25" s="50" t="s">
        <v>201</v>
      </c>
      <c r="S25" s="51" t="s">
        <v>201</v>
      </c>
    </row>
    <row r="26" spans="1:35">
      <c r="A26" t="s">
        <v>176</v>
      </c>
      <c r="B26" s="11">
        <v>0.42</v>
      </c>
      <c r="C26" s="40">
        <v>0.42</v>
      </c>
      <c r="D26" s="44">
        <v>0.42</v>
      </c>
      <c r="E26" s="11">
        <v>0.42</v>
      </c>
      <c r="F26" s="40">
        <v>0.42</v>
      </c>
      <c r="G26" s="44">
        <v>0.42</v>
      </c>
      <c r="H26" s="11">
        <v>0.42</v>
      </c>
      <c r="I26" s="40">
        <v>0.42</v>
      </c>
      <c r="J26" s="44">
        <v>0.42</v>
      </c>
      <c r="K26" s="11">
        <v>0.42</v>
      </c>
      <c r="L26" s="40">
        <v>0.42</v>
      </c>
      <c r="M26" s="44">
        <v>0.42</v>
      </c>
      <c r="N26" s="11">
        <v>0.42</v>
      </c>
      <c r="O26" s="40">
        <v>0.42</v>
      </c>
      <c r="P26" s="44">
        <v>0.42</v>
      </c>
      <c r="Q26" s="11"/>
      <c r="R26" s="40"/>
      <c r="S26" s="44"/>
    </row>
    <row r="27" spans="1:35">
      <c r="B27" s="11"/>
      <c r="C27" s="40"/>
      <c r="D27" s="44"/>
      <c r="E27" s="11"/>
      <c r="F27" s="40"/>
      <c r="G27" s="44"/>
      <c r="H27" s="11"/>
      <c r="I27" s="40"/>
      <c r="J27" s="44"/>
      <c r="K27" s="11"/>
      <c r="L27" s="40"/>
      <c r="M27" s="44"/>
      <c r="N27" s="11"/>
      <c r="O27" s="40"/>
      <c r="P27" s="44"/>
      <c r="Q27" s="11"/>
      <c r="R27" s="40"/>
      <c r="S27" s="44"/>
    </row>
    <row r="28" spans="1:35">
      <c r="B28" s="11"/>
      <c r="C28" s="40"/>
      <c r="D28" s="44"/>
      <c r="E28" s="11"/>
      <c r="F28" s="40"/>
      <c r="G28" s="44"/>
      <c r="H28" s="11"/>
      <c r="I28" s="40"/>
      <c r="J28" s="44"/>
      <c r="K28" s="11"/>
      <c r="L28" s="40"/>
      <c r="M28" s="44"/>
      <c r="N28" s="11"/>
      <c r="O28" s="40"/>
      <c r="P28" s="44"/>
      <c r="Q28" s="11"/>
      <c r="R28" s="40"/>
      <c r="S28" s="44"/>
    </row>
    <row r="29" spans="1:35">
      <c r="A29" s="58" t="s">
        <v>132</v>
      </c>
      <c r="B29" s="49"/>
      <c r="C29" s="50"/>
      <c r="D29" s="51"/>
      <c r="E29" s="49"/>
      <c r="F29" s="50"/>
      <c r="G29" s="51"/>
      <c r="H29" s="49"/>
      <c r="I29" s="50"/>
      <c r="J29" s="51"/>
      <c r="K29" s="49"/>
      <c r="L29" s="50"/>
      <c r="M29" s="51"/>
      <c r="N29" s="49"/>
      <c r="O29" s="50"/>
      <c r="P29" s="51"/>
      <c r="Q29" s="49"/>
      <c r="R29" s="50"/>
      <c r="S29" s="51"/>
    </row>
    <row r="30" spans="1:35">
      <c r="A30" s="61" t="s">
        <v>134</v>
      </c>
      <c r="B30" s="11"/>
      <c r="C30" s="40"/>
      <c r="D30" s="44"/>
      <c r="E30" s="11"/>
      <c r="F30" s="40"/>
      <c r="G30" s="44"/>
      <c r="H30" s="11"/>
      <c r="I30" s="40"/>
      <c r="J30" s="44"/>
      <c r="K30" s="11"/>
      <c r="L30" s="40"/>
      <c r="M30" s="44"/>
      <c r="N30" s="11"/>
      <c r="O30" s="40"/>
      <c r="P30" s="44"/>
      <c r="Q30" s="11"/>
      <c r="R30" s="40"/>
      <c r="S30" s="44"/>
    </row>
    <row r="31" spans="1:35">
      <c r="A31" s="2" t="s">
        <v>135</v>
      </c>
      <c r="B31" s="11"/>
      <c r="E31" s="11"/>
      <c r="H31" s="11"/>
      <c r="K31" s="11"/>
      <c r="N31" s="11"/>
      <c r="Q31" s="11"/>
    </row>
    <row r="32" spans="1:35">
      <c r="A32" s="2" t="s">
        <v>136</v>
      </c>
      <c r="B32" s="11"/>
      <c r="E32" s="11"/>
      <c r="H32" s="11"/>
      <c r="K32" s="11"/>
      <c r="N32" s="11"/>
      <c r="Q32" s="11"/>
    </row>
    <row r="33" spans="1:19">
      <c r="A33" s="2" t="s">
        <v>137</v>
      </c>
      <c r="B33" s="11"/>
      <c r="E33" s="11"/>
      <c r="H33" s="11"/>
      <c r="K33" s="11"/>
      <c r="N33" s="11"/>
      <c r="Q33" s="11"/>
    </row>
    <row r="34" spans="1:19">
      <c r="A34" s="62" t="s">
        <v>195</v>
      </c>
      <c r="B34" s="11"/>
      <c r="E34" s="11"/>
      <c r="H34" s="11"/>
      <c r="K34" s="11"/>
      <c r="N34" s="11"/>
      <c r="Q34" s="11"/>
    </row>
    <row r="35" spans="1:19" ht="39">
      <c r="A35" s="5" t="s">
        <v>140</v>
      </c>
      <c r="B35" s="8"/>
      <c r="C35" s="9"/>
      <c r="D35" s="10"/>
      <c r="E35" s="8"/>
      <c r="F35" s="9"/>
      <c r="G35" s="10"/>
      <c r="H35" s="8"/>
      <c r="I35" s="9"/>
      <c r="J35" s="10"/>
      <c r="K35" s="8"/>
      <c r="L35" s="9"/>
      <c r="M35" s="10"/>
      <c r="N35" s="8"/>
      <c r="O35" s="9"/>
      <c r="P35" s="10"/>
      <c r="Q35" s="8"/>
      <c r="R35" s="9"/>
      <c r="S35" s="10"/>
    </row>
    <row r="36" spans="1:19">
      <c r="A36" s="5"/>
      <c r="B36" s="8"/>
      <c r="C36" s="9"/>
      <c r="D36" s="10"/>
      <c r="E36" s="8"/>
      <c r="F36" s="9"/>
      <c r="G36" s="10"/>
      <c r="H36" s="8"/>
      <c r="I36" s="9"/>
      <c r="J36" s="10"/>
      <c r="K36" s="8"/>
      <c r="L36" s="9"/>
      <c r="M36" s="10"/>
      <c r="N36" s="8"/>
      <c r="O36" s="9"/>
      <c r="P36" s="10"/>
      <c r="Q36" s="8"/>
      <c r="R36" s="9"/>
      <c r="S36" s="10"/>
    </row>
    <row r="37" spans="1:19" ht="26">
      <c r="A37" s="5" t="s">
        <v>141</v>
      </c>
      <c r="B37" s="8"/>
      <c r="C37" s="9"/>
      <c r="D37" s="10"/>
      <c r="E37" s="8"/>
      <c r="F37" s="9"/>
      <c r="G37" s="10"/>
      <c r="H37" s="8"/>
      <c r="I37" s="9"/>
      <c r="J37" s="10"/>
      <c r="K37" s="8"/>
      <c r="L37" s="9"/>
      <c r="M37" s="10"/>
      <c r="N37" s="8"/>
      <c r="O37" s="9"/>
      <c r="P37" s="10"/>
      <c r="Q37" s="8"/>
      <c r="R37" s="9"/>
      <c r="S37" s="10"/>
    </row>
    <row r="38" spans="1:19">
      <c r="A38" s="5" t="s">
        <v>142</v>
      </c>
      <c r="B38" s="11"/>
      <c r="C38" s="9"/>
      <c r="D38" s="10"/>
      <c r="E38" s="11"/>
      <c r="F38" s="9"/>
      <c r="G38" s="10"/>
      <c r="H38" s="11"/>
      <c r="I38" s="9"/>
      <c r="J38" s="10"/>
      <c r="K38" s="11"/>
      <c r="L38" s="9"/>
      <c r="M38" s="10"/>
      <c r="N38" s="11"/>
      <c r="O38" s="9"/>
      <c r="P38" s="10"/>
      <c r="Q38" s="11"/>
      <c r="R38" s="9"/>
      <c r="S38" s="10"/>
    </row>
    <row r="39" spans="1:19">
      <c r="A39" s="5"/>
      <c r="B39" s="8"/>
      <c r="C39" s="9"/>
      <c r="D39" s="10"/>
      <c r="E39" s="8"/>
      <c r="F39" s="9"/>
      <c r="G39" s="10"/>
      <c r="H39" s="8"/>
      <c r="I39" s="9"/>
      <c r="J39" s="10"/>
      <c r="K39" s="8"/>
      <c r="L39" s="9"/>
      <c r="M39" s="10"/>
      <c r="N39" s="8"/>
      <c r="O39" s="9"/>
      <c r="P39" s="10"/>
      <c r="Q39" s="8"/>
      <c r="R39" s="9"/>
      <c r="S39" s="10"/>
    </row>
    <row r="40" spans="1:19" ht="26">
      <c r="A40" s="24" t="s">
        <v>144</v>
      </c>
      <c r="B40" s="6"/>
      <c r="C40" s="1"/>
      <c r="D40" s="7"/>
      <c r="E40" s="6"/>
      <c r="F40" s="1"/>
      <c r="G40" s="7"/>
      <c r="H40" s="6"/>
      <c r="I40" s="1"/>
      <c r="J40" s="7"/>
      <c r="K40" s="6"/>
      <c r="L40" s="1"/>
      <c r="M40" s="7"/>
      <c r="N40" s="6"/>
      <c r="O40" s="1"/>
      <c r="P40" s="7"/>
      <c r="Q40" s="6"/>
      <c r="R40" s="1"/>
      <c r="S40" s="7"/>
    </row>
    <row r="41" spans="1:19">
      <c r="A41" s="74" t="s">
        <v>145</v>
      </c>
      <c r="B41" s="8"/>
      <c r="C41" s="9"/>
      <c r="D41" s="10"/>
      <c r="E41" s="8"/>
      <c r="F41" s="9"/>
      <c r="G41" s="10"/>
      <c r="H41" s="8"/>
      <c r="I41" s="9"/>
      <c r="J41" s="10"/>
      <c r="K41" s="8"/>
      <c r="L41" s="9"/>
      <c r="M41" s="10"/>
      <c r="N41" s="8"/>
      <c r="O41" s="9"/>
      <c r="P41" s="10"/>
      <c r="Q41" s="8"/>
      <c r="R41" s="9"/>
      <c r="S41" s="10"/>
    </row>
    <row r="42" spans="1:19">
      <c r="A42" s="53" t="s">
        <v>196</v>
      </c>
      <c r="B42" s="49">
        <f t="shared" ref="B42:P42" si="5">B15</f>
        <v>0</v>
      </c>
      <c r="C42" s="50">
        <f t="shared" si="5"/>
        <v>0</v>
      </c>
      <c r="D42" s="51">
        <f t="shared" si="5"/>
        <v>0</v>
      </c>
      <c r="E42" s="49">
        <f t="shared" si="5"/>
        <v>0</v>
      </c>
      <c r="F42" s="50">
        <f t="shared" si="5"/>
        <v>0</v>
      </c>
      <c r="G42" s="51">
        <f t="shared" si="5"/>
        <v>0</v>
      </c>
      <c r="H42" s="49">
        <f t="shared" si="5"/>
        <v>0</v>
      </c>
      <c r="I42" s="50">
        <f t="shared" si="5"/>
        <v>0</v>
      </c>
      <c r="J42" s="51">
        <f t="shared" si="5"/>
        <v>0</v>
      </c>
      <c r="K42" s="49">
        <f t="shared" si="5"/>
        <v>0</v>
      </c>
      <c r="L42" s="50">
        <f t="shared" si="5"/>
        <v>0</v>
      </c>
      <c r="M42" s="51">
        <f t="shared" si="5"/>
        <v>0</v>
      </c>
      <c r="N42" s="49">
        <f t="shared" si="5"/>
        <v>0</v>
      </c>
      <c r="O42" s="50">
        <f t="shared" si="5"/>
        <v>0</v>
      </c>
      <c r="P42" s="51">
        <f t="shared" si="5"/>
        <v>0</v>
      </c>
      <c r="Q42" s="49"/>
      <c r="R42" s="50"/>
      <c r="S42" s="51"/>
    </row>
    <row r="43" spans="1:19">
      <c r="A43" s="3" t="s">
        <v>197</v>
      </c>
      <c r="B43" s="55"/>
      <c r="C43" s="56"/>
      <c r="D43" s="57"/>
      <c r="E43" s="55"/>
      <c r="F43" s="56"/>
      <c r="G43" s="57"/>
      <c r="H43" s="55"/>
      <c r="I43" s="56"/>
      <c r="J43" s="57"/>
      <c r="K43" s="55"/>
      <c r="L43" s="56"/>
      <c r="M43" s="57"/>
      <c r="N43" s="55"/>
      <c r="O43" s="56"/>
      <c r="P43" s="57"/>
      <c r="Q43" s="55"/>
      <c r="R43" s="56"/>
      <c r="S43" s="57"/>
    </row>
    <row r="44" spans="1:19">
      <c r="A44" s="2" t="s">
        <v>205</v>
      </c>
      <c r="B44" s="49"/>
      <c r="C44" s="50"/>
      <c r="D44" s="51"/>
      <c r="E44" s="49"/>
      <c r="F44" s="50"/>
      <c r="G44" s="51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1:19">
      <c r="A45" s="3" t="s">
        <v>206</v>
      </c>
      <c r="B45" s="6"/>
      <c r="C45" s="1"/>
      <c r="D45" s="7"/>
      <c r="E45" s="6"/>
      <c r="F45" s="1"/>
      <c r="G45" s="7"/>
      <c r="H45" s="55"/>
      <c r="I45" s="56"/>
      <c r="J45" s="57"/>
      <c r="K45" s="55"/>
      <c r="L45" s="56"/>
      <c r="M45" s="57"/>
      <c r="N45" s="55"/>
      <c r="O45" s="56"/>
      <c r="P45" s="57"/>
      <c r="Q45" s="55"/>
      <c r="R45" s="56"/>
      <c r="S45" s="57"/>
    </row>
    <row r="46" spans="1:19">
      <c r="A46" s="2" t="s">
        <v>207</v>
      </c>
      <c r="B46" s="49">
        <f>'sheet 10'!B19</f>
        <v>58200</v>
      </c>
      <c r="C46" s="50">
        <f>'sheet 10'!C19</f>
        <v>58200</v>
      </c>
      <c r="D46" s="51">
        <f>'sheet 10'!D19</f>
        <v>76562</v>
      </c>
      <c r="E46" s="49">
        <f>'sheet 10'!E19</f>
        <v>58200</v>
      </c>
      <c r="F46" s="50">
        <f>'sheet 10'!F19</f>
        <v>58200</v>
      </c>
      <c r="G46" s="51">
        <f>'sheet 10'!G19</f>
        <v>17635</v>
      </c>
      <c r="H46" s="49">
        <f>'sheet 10'!H19</f>
        <v>20400.63</v>
      </c>
      <c r="I46" s="50">
        <f>'sheet 10'!I19</f>
        <v>20400.63</v>
      </c>
      <c r="J46" s="51" t="e">
        <f>'sheet 10'!J19</f>
        <v>#REF!</v>
      </c>
      <c r="K46" s="49">
        <f>'sheet 10'!K19</f>
        <v>20400.63</v>
      </c>
      <c r="L46" s="50">
        <f>'sheet 10'!L19</f>
        <v>20400.63</v>
      </c>
      <c r="M46" s="51" t="e">
        <f>'sheet 10'!M19</f>
        <v>#REF!</v>
      </c>
      <c r="N46" s="49">
        <f>'sheet 10'!N19</f>
        <v>20400.63</v>
      </c>
      <c r="O46" s="50">
        <f>'sheet 10'!O19</f>
        <v>20400.63</v>
      </c>
      <c r="P46" s="51">
        <f>'sheet 10'!P19</f>
        <v>1000.63</v>
      </c>
      <c r="Q46" s="49">
        <f>'sheet 10'!Q19</f>
        <v>119401.89000000001</v>
      </c>
      <c r="R46" s="50">
        <f>'sheet 10'!R19</f>
        <v>119401.89000000001</v>
      </c>
      <c r="S46" s="51" t="e">
        <f>'sheet 10'!S19</f>
        <v>#REF!</v>
      </c>
    </row>
    <row r="47" spans="1:19">
      <c r="A47" s="3" t="s">
        <v>208</v>
      </c>
      <c r="B47" s="55">
        <f t="shared" ref="B47:S47" si="6">B19</f>
        <v>96750</v>
      </c>
      <c r="C47" s="56">
        <f t="shared" si="6"/>
        <v>72750</v>
      </c>
      <c r="D47" s="57">
        <f t="shared" si="6"/>
        <v>87454.82</v>
      </c>
      <c r="E47" s="55">
        <f t="shared" si="6"/>
        <v>52500</v>
      </c>
      <c r="F47" s="56">
        <f t="shared" si="6"/>
        <v>48000</v>
      </c>
      <c r="G47" s="57">
        <f t="shared" si="6"/>
        <v>47723.979999999996</v>
      </c>
      <c r="H47" s="55">
        <f t="shared" si="6"/>
        <v>52500</v>
      </c>
      <c r="I47" s="56">
        <f t="shared" si="6"/>
        <v>48000</v>
      </c>
      <c r="J47" s="57">
        <f t="shared" si="6"/>
        <v>45378.649999999994</v>
      </c>
      <c r="K47" s="55">
        <f t="shared" si="6"/>
        <v>52500</v>
      </c>
      <c r="L47" s="56">
        <f t="shared" si="6"/>
        <v>48000</v>
      </c>
      <c r="M47" s="57">
        <f t="shared" si="6"/>
        <v>19686.2</v>
      </c>
      <c r="N47" s="55">
        <f t="shared" si="6"/>
        <v>52500</v>
      </c>
      <c r="O47" s="56">
        <f t="shared" si="6"/>
        <v>48000</v>
      </c>
      <c r="P47" s="57">
        <f t="shared" si="6"/>
        <v>41005.759999999995</v>
      </c>
      <c r="Q47" s="55">
        <f t="shared" si="6"/>
        <v>210000</v>
      </c>
      <c r="R47" s="56">
        <f t="shared" si="6"/>
        <v>192000</v>
      </c>
      <c r="S47" s="57">
        <f t="shared" si="6"/>
        <v>175114.14999999997</v>
      </c>
    </row>
    <row r="48" spans="1:19">
      <c r="A48" s="53" t="s">
        <v>152</v>
      </c>
      <c r="B48" s="49"/>
      <c r="C48" s="50"/>
      <c r="D48" s="51"/>
      <c r="E48" s="49"/>
      <c r="F48" s="50"/>
      <c r="G48" s="51"/>
      <c r="H48" s="49"/>
      <c r="I48" s="50"/>
      <c r="J48" s="51"/>
      <c r="K48" s="49"/>
      <c r="L48" s="50"/>
      <c r="M48" s="51"/>
      <c r="N48" s="49"/>
      <c r="O48" s="50"/>
      <c r="P48" s="51"/>
      <c r="Q48" s="49"/>
      <c r="R48" s="50"/>
      <c r="S48" s="51"/>
    </row>
    <row r="49" spans="1:19">
      <c r="A49" s="24"/>
      <c r="B49" s="6"/>
      <c r="C49" s="1"/>
      <c r="D49" s="7"/>
      <c r="E49" s="6"/>
      <c r="F49" s="1"/>
      <c r="G49" s="7"/>
      <c r="H49" s="6"/>
      <c r="I49" s="1"/>
      <c r="J49" s="7"/>
      <c r="K49" s="6"/>
      <c r="L49" s="1"/>
      <c r="M49" s="7"/>
      <c r="N49" s="6"/>
      <c r="O49" s="1"/>
      <c r="P49" s="7"/>
      <c r="Q49" s="6"/>
      <c r="R49" s="1"/>
      <c r="S49" s="7"/>
    </row>
    <row r="50" spans="1:19" s="48" customFormat="1">
      <c r="A50" s="186" t="s">
        <v>198</v>
      </c>
      <c r="B50" s="187">
        <f>B46-B47</f>
        <v>-38550</v>
      </c>
      <c r="C50" s="188">
        <f t="shared" ref="C50:R50" si="7">C46-C47</f>
        <v>-14550</v>
      </c>
      <c r="D50" s="189">
        <f t="shared" si="7"/>
        <v>-10892.820000000007</v>
      </c>
      <c r="E50" s="187">
        <f t="shared" si="7"/>
        <v>5700</v>
      </c>
      <c r="F50" s="188">
        <f t="shared" si="7"/>
        <v>10200</v>
      </c>
      <c r="G50" s="189">
        <f t="shared" si="7"/>
        <v>-30088.979999999996</v>
      </c>
      <c r="H50" s="187">
        <f t="shared" si="7"/>
        <v>-32099.37</v>
      </c>
      <c r="I50" s="188">
        <f t="shared" si="7"/>
        <v>-27599.37</v>
      </c>
      <c r="J50" s="189" t="e">
        <f t="shared" si="7"/>
        <v>#REF!</v>
      </c>
      <c r="K50" s="187">
        <f t="shared" si="7"/>
        <v>-32099.37</v>
      </c>
      <c r="L50" s="188">
        <f t="shared" si="7"/>
        <v>-27599.37</v>
      </c>
      <c r="M50" s="189" t="e">
        <f t="shared" si="7"/>
        <v>#REF!</v>
      </c>
      <c r="N50" s="187">
        <f t="shared" si="7"/>
        <v>-32099.37</v>
      </c>
      <c r="O50" s="188">
        <f t="shared" si="7"/>
        <v>-27599.37</v>
      </c>
      <c r="P50" s="189">
        <f t="shared" si="7"/>
        <v>-40005.129999999997</v>
      </c>
      <c r="Q50" s="187">
        <f t="shared" si="7"/>
        <v>-90598.109999999986</v>
      </c>
      <c r="R50" s="188">
        <f t="shared" si="7"/>
        <v>-72598.109999999986</v>
      </c>
      <c r="S50" s="189" t="e">
        <f>S46-S47</f>
        <v>#REF!</v>
      </c>
    </row>
    <row r="51" spans="1:19">
      <c r="A51" s="25" t="s">
        <v>179</v>
      </c>
      <c r="B51" s="8"/>
      <c r="C51" s="9"/>
      <c r="D51" s="10"/>
      <c r="E51" s="8"/>
      <c r="F51" s="9"/>
      <c r="G51" s="10"/>
      <c r="H51" s="8"/>
      <c r="I51" s="9"/>
      <c r="J51" s="10"/>
      <c r="K51" s="8"/>
      <c r="L51" s="9"/>
      <c r="M51" s="10"/>
      <c r="N51" s="8"/>
      <c r="O51" s="9"/>
      <c r="P51" s="10"/>
      <c r="Q51" s="8"/>
      <c r="R51" s="9"/>
      <c r="S51" s="10"/>
    </row>
    <row r="52" spans="1:19">
      <c r="A52" s="5" t="s">
        <v>156</v>
      </c>
      <c r="B52" s="8"/>
      <c r="C52" s="9"/>
      <c r="D52" s="10"/>
      <c r="E52" s="8"/>
      <c r="F52" s="9"/>
      <c r="G52" s="10"/>
      <c r="H52" s="8"/>
      <c r="I52" s="9"/>
      <c r="J52" s="10"/>
      <c r="K52" s="8"/>
      <c r="L52" s="9"/>
      <c r="M52" s="10"/>
      <c r="N52" s="8"/>
      <c r="O52" s="9"/>
      <c r="P52" s="10"/>
      <c r="Q52" s="8"/>
      <c r="R52" s="9"/>
      <c r="S52" s="10"/>
    </row>
    <row r="53" spans="1:19">
      <c r="A53" s="5" t="s">
        <v>157</v>
      </c>
      <c r="B53" s="8"/>
      <c r="C53" s="9"/>
      <c r="D53" s="10"/>
      <c r="E53" s="8"/>
      <c r="F53" s="9"/>
      <c r="G53" s="10"/>
      <c r="H53" s="8"/>
      <c r="I53" s="9"/>
      <c r="J53" s="10"/>
      <c r="K53" s="8"/>
      <c r="L53" s="9"/>
      <c r="M53" s="10"/>
      <c r="N53" s="8"/>
      <c r="O53" s="9"/>
      <c r="P53" s="10"/>
      <c r="Q53" s="8"/>
      <c r="R53" s="9"/>
      <c r="S53" s="10"/>
    </row>
    <row r="54" spans="1:19">
      <c r="A54" s="5" t="s">
        <v>158</v>
      </c>
      <c r="B54" s="8"/>
      <c r="C54" s="9"/>
      <c r="D54" s="10"/>
      <c r="E54" s="8"/>
      <c r="F54" s="9"/>
      <c r="G54" s="10"/>
      <c r="H54" s="8"/>
      <c r="I54" s="9"/>
      <c r="J54" s="10"/>
      <c r="K54" s="8"/>
      <c r="L54" s="9"/>
      <c r="M54" s="10"/>
      <c r="N54" s="8"/>
      <c r="O54" s="9"/>
      <c r="P54" s="10"/>
      <c r="Q54" s="8"/>
      <c r="R54" s="9"/>
      <c r="S54" s="10"/>
    </row>
    <row r="55" spans="1:19">
      <c r="A55" s="5" t="s">
        <v>180</v>
      </c>
      <c r="B55" s="8"/>
      <c r="C55" s="9"/>
      <c r="D55" s="10"/>
      <c r="E55" s="8"/>
      <c r="F55" s="9"/>
      <c r="G55" s="10"/>
      <c r="H55" s="8"/>
      <c r="I55" s="9"/>
      <c r="J55" s="10"/>
      <c r="K55" s="8"/>
      <c r="L55" s="9"/>
      <c r="M55" s="10"/>
      <c r="N55" s="8"/>
      <c r="O55" s="9"/>
      <c r="P55" s="10"/>
      <c r="Q55" s="8"/>
      <c r="R55" s="9"/>
      <c r="S55" s="10"/>
    </row>
    <row r="56" spans="1:19">
      <c r="A56" t="s">
        <v>160</v>
      </c>
      <c r="B56" s="8"/>
      <c r="C56" s="9"/>
      <c r="D56" s="10"/>
      <c r="E56" s="8"/>
      <c r="F56" s="9"/>
      <c r="G56" s="10"/>
      <c r="H56" s="8"/>
      <c r="I56" s="9"/>
      <c r="J56" s="10"/>
      <c r="K56" s="8"/>
      <c r="L56" s="9"/>
      <c r="M56" s="10"/>
      <c r="N56" s="8"/>
      <c r="O56" s="9"/>
      <c r="P56" s="10"/>
      <c r="Q56" s="8"/>
      <c r="R56" s="9"/>
      <c r="S56" s="10"/>
    </row>
    <row r="57" spans="1:19">
      <c r="A57" t="s">
        <v>161</v>
      </c>
      <c r="B57" s="8"/>
      <c r="C57" s="9"/>
      <c r="D57" s="10"/>
      <c r="E57" s="8"/>
      <c r="F57" s="9"/>
      <c r="G57" s="10"/>
      <c r="H57" s="8"/>
      <c r="I57" s="9"/>
      <c r="J57" s="10"/>
      <c r="K57" s="8"/>
      <c r="L57" s="9"/>
      <c r="M57" s="10"/>
      <c r="N57" s="8"/>
      <c r="O57" s="9"/>
      <c r="P57" s="10"/>
      <c r="Q57" s="8"/>
      <c r="R57" s="9"/>
      <c r="S57" s="10"/>
    </row>
    <row r="58" spans="1:19">
      <c r="A58" t="s">
        <v>162</v>
      </c>
      <c r="B58" s="8"/>
      <c r="C58" s="9"/>
      <c r="D58" s="10"/>
      <c r="E58" s="8"/>
      <c r="F58" s="9"/>
      <c r="G58" s="10"/>
      <c r="H58" s="8"/>
      <c r="I58" s="9"/>
      <c r="J58" s="10"/>
      <c r="K58" s="8"/>
      <c r="L58" s="9"/>
      <c r="M58" s="10"/>
      <c r="N58" s="8"/>
      <c r="O58" s="9"/>
      <c r="P58" s="10"/>
      <c r="Q58" s="8"/>
      <c r="R58" s="9"/>
      <c r="S58" s="10"/>
    </row>
    <row r="59" spans="1:19">
      <c r="A59" t="s">
        <v>163</v>
      </c>
      <c r="B59" s="8"/>
      <c r="C59" s="9"/>
      <c r="D59" s="10"/>
      <c r="E59" s="8"/>
      <c r="F59" s="9"/>
      <c r="G59" s="10"/>
      <c r="H59" s="8"/>
      <c r="I59" s="9"/>
      <c r="J59" s="10"/>
      <c r="K59" s="8"/>
      <c r="L59" s="9"/>
      <c r="M59" s="10"/>
      <c r="N59" s="8"/>
      <c r="O59" s="9"/>
      <c r="P59" s="10"/>
      <c r="Q59" s="8"/>
      <c r="R59" s="9"/>
      <c r="S59" s="10"/>
    </row>
    <row r="60" spans="1:19">
      <c r="A60" t="s">
        <v>87</v>
      </c>
      <c r="B60" s="8"/>
      <c r="C60" s="9"/>
      <c r="D60" s="10"/>
      <c r="E60" s="8"/>
      <c r="F60" s="9"/>
      <c r="G60" s="10"/>
      <c r="H60" s="8"/>
      <c r="I60" s="9"/>
      <c r="J60" s="10"/>
      <c r="K60" s="8"/>
      <c r="L60" s="9"/>
      <c r="M60" s="10"/>
      <c r="N60" s="8"/>
      <c r="O60" s="9"/>
      <c r="P60" s="10"/>
      <c r="Q60" s="8"/>
      <c r="R60" s="9"/>
      <c r="S60" s="10"/>
    </row>
    <row r="61" spans="1:19">
      <c r="A61" t="s">
        <v>181</v>
      </c>
      <c r="B61" s="8"/>
      <c r="C61" s="9"/>
      <c r="D61" s="10"/>
      <c r="E61" s="8"/>
      <c r="F61" s="9"/>
      <c r="G61" s="10"/>
      <c r="H61" s="8"/>
      <c r="I61" s="9"/>
      <c r="J61" s="10"/>
      <c r="K61" s="8"/>
      <c r="L61" s="9"/>
      <c r="M61" s="10"/>
      <c r="N61" s="8"/>
      <c r="O61" s="9"/>
      <c r="P61" s="10"/>
      <c r="Q61" s="8"/>
      <c r="R61" s="9"/>
      <c r="S61" s="10"/>
    </row>
    <row r="62" spans="1:19" ht="14" thickBot="1">
      <c r="B62" s="12"/>
      <c r="C62" s="13"/>
      <c r="D62" s="14"/>
      <c r="E62" s="12"/>
      <c r="F62" s="13"/>
      <c r="G62" s="14"/>
      <c r="H62" s="12"/>
      <c r="I62" s="13"/>
      <c r="J62" s="14"/>
      <c r="K62" s="12"/>
      <c r="L62" s="13"/>
      <c r="M62" s="14"/>
      <c r="N62" s="12"/>
      <c r="O62" s="13"/>
      <c r="P62" s="14"/>
      <c r="Q62" s="12"/>
      <c r="R62" s="13"/>
      <c r="S62" s="14"/>
    </row>
    <row r="64" spans="1:19">
      <c r="A64" s="74" t="s">
        <v>145</v>
      </c>
      <c r="B64" s="191"/>
      <c r="C64" s="192"/>
      <c r="D64" s="193"/>
      <c r="E64" s="191"/>
      <c r="F64" s="192"/>
      <c r="G64" s="193"/>
      <c r="H64" s="191"/>
      <c r="I64" s="192"/>
      <c r="J64" s="193"/>
      <c r="K64" s="191"/>
      <c r="L64" s="192"/>
      <c r="M64" s="193"/>
      <c r="N64" s="191"/>
      <c r="O64" s="192"/>
      <c r="P64" s="193"/>
      <c r="Q64" s="194"/>
      <c r="R64" s="192"/>
      <c r="S64" s="195"/>
    </row>
    <row r="65" spans="1:19">
      <c r="A65" s="53" t="s">
        <v>209</v>
      </c>
      <c r="B65" s="49">
        <f>CAE!B19</f>
        <v>58200</v>
      </c>
      <c r="C65" s="50">
        <f>CAE!C19</f>
        <v>58200</v>
      </c>
      <c r="D65" s="51">
        <f>CAE!D19</f>
        <v>76562</v>
      </c>
      <c r="E65" s="49">
        <f>CAE!E19</f>
        <v>58200</v>
      </c>
      <c r="F65" s="50">
        <f>CAE!F19</f>
        <v>58200</v>
      </c>
      <c r="G65" s="51">
        <f>CAE!G19</f>
        <v>17635</v>
      </c>
      <c r="H65" s="49">
        <f>CAE!H19</f>
        <v>20400.63</v>
      </c>
      <c r="I65" s="50">
        <f>CAE!I19</f>
        <v>20400.63</v>
      </c>
      <c r="J65" s="51">
        <f>CAE!J19</f>
        <v>15067.844800000001</v>
      </c>
      <c r="K65" s="49">
        <f>CAE!K19</f>
        <v>20400.63</v>
      </c>
      <c r="L65" s="50">
        <f>CAE!L19</f>
        <v>20400.63</v>
      </c>
      <c r="M65" s="51">
        <f>CAE!M19</f>
        <v>7103.35</v>
      </c>
      <c r="N65" s="49">
        <f>CAE!N19</f>
        <v>20400.63</v>
      </c>
      <c r="O65" s="50">
        <f>CAE!O19</f>
        <v>20400.63</v>
      </c>
      <c r="P65" s="51">
        <f>CAE!P19</f>
        <v>13712.417999999998</v>
      </c>
      <c r="Q65" s="82"/>
      <c r="R65" s="50"/>
      <c r="S65" s="185"/>
    </row>
    <row r="66" spans="1:19">
      <c r="A66" s="3" t="s">
        <v>210</v>
      </c>
      <c r="B66" s="78">
        <f t="shared" ref="B66:P66" si="8">B47</f>
        <v>96750</v>
      </c>
      <c r="C66" s="184">
        <f t="shared" si="8"/>
        <v>72750</v>
      </c>
      <c r="D66" s="130">
        <f t="shared" si="8"/>
        <v>87454.82</v>
      </c>
      <c r="E66" s="78">
        <f t="shared" si="8"/>
        <v>52500</v>
      </c>
      <c r="F66" s="184">
        <f t="shared" si="8"/>
        <v>48000</v>
      </c>
      <c r="G66" s="130">
        <f t="shared" si="8"/>
        <v>47723.979999999996</v>
      </c>
      <c r="H66" s="184">
        <f t="shared" si="8"/>
        <v>52500</v>
      </c>
      <c r="I66" s="184">
        <f t="shared" si="8"/>
        <v>48000</v>
      </c>
      <c r="J66" s="184">
        <f t="shared" si="8"/>
        <v>45378.649999999994</v>
      </c>
      <c r="K66" s="78">
        <f t="shared" si="8"/>
        <v>52500</v>
      </c>
      <c r="L66" s="184">
        <f t="shared" si="8"/>
        <v>48000</v>
      </c>
      <c r="M66" s="130">
        <f t="shared" si="8"/>
        <v>19686.2</v>
      </c>
      <c r="N66" s="78">
        <f t="shared" si="8"/>
        <v>52500</v>
      </c>
      <c r="O66" s="184">
        <f t="shared" si="8"/>
        <v>48000</v>
      </c>
      <c r="P66" s="130">
        <f t="shared" si="8"/>
        <v>41005.759999999995</v>
      </c>
      <c r="Q66" s="1"/>
      <c r="R66" s="1"/>
      <c r="S66" s="196"/>
    </row>
    <row r="67" spans="1:19" s="135" customFormat="1">
      <c r="A67" s="190" t="s">
        <v>198</v>
      </c>
      <c r="B67" s="200">
        <f>B65-B66</f>
        <v>-38550</v>
      </c>
      <c r="C67" s="198">
        <f t="shared" ref="C67:P67" si="9">C65-C66</f>
        <v>-14550</v>
      </c>
      <c r="D67" s="201">
        <f t="shared" si="9"/>
        <v>-10892.820000000007</v>
      </c>
      <c r="E67" s="200">
        <f t="shared" si="9"/>
        <v>5700</v>
      </c>
      <c r="F67" s="198">
        <f t="shared" si="9"/>
        <v>10200</v>
      </c>
      <c r="G67" s="201">
        <f t="shared" si="9"/>
        <v>-30088.979999999996</v>
      </c>
      <c r="H67" s="198">
        <f t="shared" si="9"/>
        <v>-32099.37</v>
      </c>
      <c r="I67" s="198">
        <f t="shared" si="9"/>
        <v>-27599.37</v>
      </c>
      <c r="J67" s="198">
        <f t="shared" si="9"/>
        <v>-30310.805199999995</v>
      </c>
      <c r="K67" s="200">
        <f t="shared" si="9"/>
        <v>-32099.37</v>
      </c>
      <c r="L67" s="198">
        <f t="shared" si="9"/>
        <v>-27599.37</v>
      </c>
      <c r="M67" s="201">
        <f t="shared" si="9"/>
        <v>-12582.85</v>
      </c>
      <c r="N67" s="200">
        <f t="shared" si="9"/>
        <v>-32099.37</v>
      </c>
      <c r="O67" s="198">
        <f t="shared" si="9"/>
        <v>-27599.37</v>
      </c>
      <c r="P67" s="201">
        <f t="shared" si="9"/>
        <v>-27293.341999999997</v>
      </c>
      <c r="Q67" s="197"/>
      <c r="R67" s="197"/>
      <c r="S67" s="199"/>
    </row>
    <row r="68" spans="1:19">
      <c r="A68" s="3" t="s">
        <v>204</v>
      </c>
      <c r="B68" s="55"/>
      <c r="C68" s="56"/>
      <c r="D68" s="201">
        <f>D67</f>
        <v>-10892.820000000007</v>
      </c>
      <c r="G68" s="201">
        <f>D68+G67</f>
        <v>-40981.800000000003</v>
      </c>
      <c r="J68" s="201">
        <f>G68+J67</f>
        <v>-71292.605199999991</v>
      </c>
      <c r="M68" s="201">
        <f>J68+M67</f>
        <v>-83875.455199999997</v>
      </c>
      <c r="P68" s="201">
        <f>M68+P67</f>
        <v>-111168.7972</v>
      </c>
    </row>
  </sheetData>
  <printOptions gridLines="1" gridLinesSet="0"/>
  <pageMargins left="0.75" right="0.75" top="1" bottom="1" header="0.5" footer="0.5"/>
  <pageSetup paperSize="0" scale="19" firstPageNumber="24" orientation="portrait" useFirstPageNumber="1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62"/>
  <sheetViews>
    <sheetView workbookViewId="0">
      <pane xSplit="1" ySplit="4" topLeftCell="B5" activePane="bottomRight" state="frozenSplit"/>
      <selection pane="topRight"/>
      <selection pane="bottomLeft" activeCell="A4" sqref="A4"/>
      <selection pane="bottomRight" activeCell="S23" sqref="S23"/>
    </sheetView>
  </sheetViews>
  <sheetFormatPr baseColWidth="10" defaultColWidth="11.42578125" defaultRowHeight="13" x14ac:dyDescent="0"/>
  <cols>
    <col min="1" max="1" width="29" customWidth="1"/>
    <col min="2" max="2" width="9.28515625" customWidth="1"/>
    <col min="3" max="3" width="9.42578125" style="27" customWidth="1"/>
    <col min="4" max="5" width="9.28515625" customWidth="1"/>
    <col min="6" max="6" width="9.42578125" customWidth="1"/>
    <col min="7" max="8" width="9.28515625" customWidth="1"/>
    <col min="9" max="9" width="9.42578125" customWidth="1"/>
    <col min="10" max="11" width="9.28515625" customWidth="1"/>
    <col min="12" max="12" width="9.42578125" customWidth="1"/>
    <col min="13" max="14" width="9.28515625" customWidth="1"/>
    <col min="15" max="15" width="9.42578125" customWidth="1"/>
    <col min="16" max="17" width="9.28515625" customWidth="1"/>
    <col min="18" max="18" width="9.42578125" customWidth="1"/>
    <col min="19" max="19" width="9.28515625" customWidth="1"/>
  </cols>
  <sheetData>
    <row r="1" spans="1:35" ht="14" thickBot="1">
      <c r="U1" s="97"/>
      <c r="V1" s="97"/>
      <c r="W1" s="97"/>
      <c r="X1" s="97"/>
      <c r="Y1" s="97"/>
      <c r="Z1" s="97"/>
      <c r="AA1" s="97"/>
      <c r="AB1" s="97"/>
      <c r="AC1" s="97"/>
    </row>
    <row r="2" spans="1:35">
      <c r="B2" s="15">
        <v>1996</v>
      </c>
      <c r="C2" s="28">
        <v>1996</v>
      </c>
      <c r="D2" s="19">
        <v>1996</v>
      </c>
      <c r="E2" s="15">
        <v>1997</v>
      </c>
      <c r="F2" s="18">
        <v>1997</v>
      </c>
      <c r="G2" s="19">
        <v>1997</v>
      </c>
      <c r="H2" s="15">
        <v>1997</v>
      </c>
      <c r="I2" s="18">
        <v>1997</v>
      </c>
      <c r="J2" s="19">
        <v>1997</v>
      </c>
      <c r="K2" s="15">
        <v>1997</v>
      </c>
      <c r="L2" s="18">
        <v>1997</v>
      </c>
      <c r="M2" s="19">
        <v>1997</v>
      </c>
      <c r="N2" s="15">
        <v>1997</v>
      </c>
      <c r="O2" s="18">
        <v>1997</v>
      </c>
      <c r="P2" s="19">
        <v>1997</v>
      </c>
      <c r="Q2" s="18">
        <v>1997</v>
      </c>
      <c r="R2" s="18">
        <v>1997</v>
      </c>
      <c r="S2" s="84">
        <v>1997</v>
      </c>
      <c r="U2" s="98" t="s">
        <v>103</v>
      </c>
      <c r="V2" s="98" t="s">
        <v>103</v>
      </c>
      <c r="W2" s="98" t="s">
        <v>103</v>
      </c>
      <c r="X2" s="98" t="s">
        <v>103</v>
      </c>
      <c r="Y2" s="98" t="s">
        <v>103</v>
      </c>
      <c r="Z2" s="98" t="s">
        <v>103</v>
      </c>
      <c r="AA2" s="98" t="s">
        <v>103</v>
      </c>
      <c r="AB2" s="98" t="s">
        <v>103</v>
      </c>
      <c r="AC2" s="98" t="s">
        <v>103</v>
      </c>
      <c r="AD2" s="98" t="s">
        <v>103</v>
      </c>
      <c r="AE2" s="98" t="s">
        <v>103</v>
      </c>
      <c r="AF2" s="98" t="s">
        <v>103</v>
      </c>
      <c r="AG2" s="98"/>
      <c r="AH2" s="98"/>
      <c r="AI2" s="98"/>
    </row>
    <row r="3" spans="1:35">
      <c r="B3" s="16" t="s">
        <v>104</v>
      </c>
      <c r="C3" s="29" t="s">
        <v>104</v>
      </c>
      <c r="D3" s="21" t="s">
        <v>104</v>
      </c>
      <c r="E3" s="16" t="s">
        <v>105</v>
      </c>
      <c r="F3" s="20" t="s">
        <v>105</v>
      </c>
      <c r="G3" s="21" t="s">
        <v>105</v>
      </c>
      <c r="H3" s="16" t="s">
        <v>106</v>
      </c>
      <c r="I3" s="20" t="s">
        <v>106</v>
      </c>
      <c r="J3" s="21" t="s">
        <v>106</v>
      </c>
      <c r="K3" s="16" t="s">
        <v>107</v>
      </c>
      <c r="L3" s="20" t="s">
        <v>108</v>
      </c>
      <c r="M3" s="21" t="s">
        <v>108</v>
      </c>
      <c r="N3" s="16" t="s">
        <v>104</v>
      </c>
      <c r="O3" s="20" t="s">
        <v>104</v>
      </c>
      <c r="P3" s="21" t="s">
        <v>104</v>
      </c>
      <c r="Q3" s="20" t="s">
        <v>109</v>
      </c>
      <c r="R3" s="20" t="s">
        <v>109</v>
      </c>
      <c r="S3" s="85" t="s">
        <v>109</v>
      </c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</row>
    <row r="4" spans="1:35">
      <c r="A4" s="1"/>
      <c r="B4" s="17" t="s">
        <v>111</v>
      </c>
      <c r="C4" s="30" t="s">
        <v>112</v>
      </c>
      <c r="D4" s="23" t="s">
        <v>103</v>
      </c>
      <c r="E4" s="17" t="s">
        <v>111</v>
      </c>
      <c r="F4" s="22" t="s">
        <v>112</v>
      </c>
      <c r="G4" s="23" t="s">
        <v>103</v>
      </c>
      <c r="H4" s="17" t="s">
        <v>111</v>
      </c>
      <c r="I4" s="22" t="s">
        <v>112</v>
      </c>
      <c r="J4" s="23" t="s">
        <v>103</v>
      </c>
      <c r="K4" s="17" t="s">
        <v>111</v>
      </c>
      <c r="L4" s="22" t="s">
        <v>112</v>
      </c>
      <c r="M4" s="23" t="s">
        <v>103</v>
      </c>
      <c r="N4" s="17" t="s">
        <v>111</v>
      </c>
      <c r="O4" s="22" t="s">
        <v>112</v>
      </c>
      <c r="P4" s="23" t="s">
        <v>103</v>
      </c>
      <c r="Q4" s="22" t="s">
        <v>111</v>
      </c>
      <c r="R4" s="22" t="s">
        <v>112</v>
      </c>
      <c r="S4" s="86" t="s">
        <v>103</v>
      </c>
      <c r="U4" s="100">
        <v>33877</v>
      </c>
      <c r="V4" s="100">
        <v>33908</v>
      </c>
      <c r="W4" s="100">
        <v>33938</v>
      </c>
      <c r="X4" s="100">
        <v>33969</v>
      </c>
      <c r="Y4" s="100">
        <v>34000</v>
      </c>
      <c r="Z4" s="100">
        <v>34028</v>
      </c>
      <c r="AA4" s="100">
        <v>34059</v>
      </c>
      <c r="AB4" s="100">
        <v>34089</v>
      </c>
      <c r="AC4" s="100">
        <v>34120</v>
      </c>
      <c r="AD4" s="100">
        <v>34150</v>
      </c>
      <c r="AE4" s="100">
        <v>34181</v>
      </c>
      <c r="AF4" s="100">
        <v>34212</v>
      </c>
      <c r="AG4" s="100">
        <v>34242</v>
      </c>
      <c r="AH4" s="100">
        <v>34273</v>
      </c>
      <c r="AI4" s="100">
        <v>34303</v>
      </c>
    </row>
    <row r="5" spans="1:35">
      <c r="B5" s="8"/>
      <c r="C5" s="31"/>
      <c r="D5" s="10"/>
      <c r="E5" s="8"/>
      <c r="F5" s="9"/>
      <c r="G5" s="10"/>
      <c r="H5" s="8"/>
      <c r="I5" s="9"/>
      <c r="J5" s="10"/>
      <c r="K5" s="8"/>
      <c r="L5" s="9"/>
      <c r="M5" s="10"/>
      <c r="N5" s="8"/>
      <c r="O5" s="9"/>
      <c r="P5" s="10"/>
      <c r="Q5" s="50"/>
      <c r="R5" s="50"/>
      <c r="S5" s="87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</row>
    <row r="6" spans="1:35">
      <c r="A6" s="37" t="s">
        <v>114</v>
      </c>
      <c r="B6" s="26"/>
      <c r="C6" s="31"/>
      <c r="D6" s="38"/>
      <c r="E6" s="26"/>
      <c r="F6" s="31"/>
      <c r="G6" s="38"/>
      <c r="H6" s="26"/>
      <c r="I6" s="31"/>
      <c r="J6" s="38"/>
      <c r="K6" s="26"/>
      <c r="L6" s="31"/>
      <c r="M6" s="38"/>
      <c r="N6" s="26"/>
      <c r="O6" s="31"/>
      <c r="P6" s="38"/>
      <c r="Q6" s="80"/>
      <c r="R6" s="50"/>
      <c r="S6" s="88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</row>
    <row r="7" spans="1:35">
      <c r="A7" s="2" t="s">
        <v>115</v>
      </c>
      <c r="B7" s="8"/>
      <c r="C7" s="31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0"/>
      <c r="R7" s="50"/>
      <c r="S7" s="87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</row>
    <row r="8" spans="1:35">
      <c r="A8" s="37" t="s">
        <v>116</v>
      </c>
      <c r="B8" s="26"/>
      <c r="C8" s="31"/>
      <c r="D8" s="38"/>
      <c r="E8" s="26"/>
      <c r="F8" s="31"/>
      <c r="G8" s="38"/>
      <c r="H8" s="26"/>
      <c r="I8" s="31"/>
      <c r="J8" s="38"/>
      <c r="K8" s="26"/>
      <c r="L8" s="31"/>
      <c r="M8" s="38"/>
      <c r="N8" s="26"/>
      <c r="O8" s="31"/>
      <c r="P8" s="38"/>
      <c r="Q8" s="80"/>
      <c r="R8" s="80"/>
      <c r="S8" s="88"/>
      <c r="U8" s="101">
        <v>224039.52</v>
      </c>
      <c r="V8" s="101">
        <v>41607.11</v>
      </c>
      <c r="W8" s="101">
        <v>37110.43</v>
      </c>
      <c r="X8" s="101">
        <v>53983.68</v>
      </c>
      <c r="Y8" s="101">
        <v>53983.68</v>
      </c>
      <c r="Z8" s="101">
        <v>56401.68</v>
      </c>
      <c r="AA8" s="101">
        <v>81899.149999999994</v>
      </c>
      <c r="AB8" s="101">
        <v>57450.68</v>
      </c>
      <c r="AC8" s="101">
        <v>55434.93</v>
      </c>
      <c r="AD8" s="101">
        <v>60653.8</v>
      </c>
      <c r="AE8" s="101">
        <v>55489.67</v>
      </c>
      <c r="AF8" s="101">
        <v>55220.85</v>
      </c>
      <c r="AG8" s="101">
        <v>55702.79</v>
      </c>
      <c r="AH8" s="101">
        <v>62007.34</v>
      </c>
      <c r="AI8" s="101">
        <v>62427.13</v>
      </c>
    </row>
    <row r="9" spans="1:35" ht="14" thickBot="1">
      <c r="A9" s="3"/>
      <c r="B9" s="6"/>
      <c r="C9" s="32"/>
      <c r="D9" s="7"/>
      <c r="E9" s="6"/>
      <c r="F9" s="1"/>
      <c r="G9" s="7"/>
      <c r="H9" s="6"/>
      <c r="I9" s="1"/>
      <c r="J9" s="7"/>
      <c r="K9" s="6"/>
      <c r="L9" s="1"/>
      <c r="M9" s="7"/>
      <c r="N9" s="6"/>
      <c r="O9" s="1"/>
      <c r="P9" s="7"/>
      <c r="Q9" s="54"/>
      <c r="R9" s="50"/>
      <c r="S9" s="8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</row>
    <row r="10" spans="1:35" ht="14" thickBot="1">
      <c r="A10" s="34" t="s">
        <v>117</v>
      </c>
      <c r="B10" s="35"/>
      <c r="C10" s="32"/>
      <c r="D10" s="36"/>
      <c r="E10" s="35"/>
      <c r="F10" s="32"/>
      <c r="G10" s="36"/>
      <c r="H10" s="35"/>
      <c r="I10" s="32"/>
      <c r="J10" s="36"/>
      <c r="K10" s="35"/>
      <c r="L10" s="32"/>
      <c r="M10" s="36"/>
      <c r="N10" s="35"/>
      <c r="O10" s="32"/>
      <c r="P10" s="36"/>
      <c r="Q10" s="32"/>
      <c r="R10" s="32"/>
      <c r="S10" s="90"/>
      <c r="U10" s="102">
        <f t="shared" ref="U10:AI10" si="0">U6-U8</f>
        <v>-224039.52</v>
      </c>
      <c r="V10" s="102">
        <f t="shared" si="0"/>
        <v>-41607.11</v>
      </c>
      <c r="W10" s="102">
        <f t="shared" si="0"/>
        <v>-37110.43</v>
      </c>
      <c r="X10" s="102">
        <f t="shared" si="0"/>
        <v>-53983.68</v>
      </c>
      <c r="Y10" s="102">
        <f t="shared" si="0"/>
        <v>-53983.68</v>
      </c>
      <c r="Z10" s="102">
        <f t="shared" si="0"/>
        <v>-56401.68</v>
      </c>
      <c r="AA10" s="102">
        <f t="shared" si="0"/>
        <v>-81899.149999999994</v>
      </c>
      <c r="AB10" s="102">
        <f t="shared" si="0"/>
        <v>-57450.68</v>
      </c>
      <c r="AC10" s="102">
        <f t="shared" si="0"/>
        <v>-55434.93</v>
      </c>
      <c r="AD10" s="102">
        <f t="shared" si="0"/>
        <v>-60653.8</v>
      </c>
      <c r="AE10" s="102">
        <f t="shared" si="0"/>
        <v>-55489.67</v>
      </c>
      <c r="AF10" s="102">
        <f t="shared" si="0"/>
        <v>-55220.85</v>
      </c>
      <c r="AG10" s="102">
        <f t="shared" si="0"/>
        <v>-55702.79</v>
      </c>
      <c r="AH10" s="102">
        <f t="shared" si="0"/>
        <v>-62007.34</v>
      </c>
      <c r="AI10" s="102">
        <f t="shared" si="0"/>
        <v>-62427.13</v>
      </c>
    </row>
    <row r="11" spans="1:35">
      <c r="B11" s="8"/>
      <c r="C11" s="31"/>
      <c r="D11" s="10"/>
      <c r="E11" s="8"/>
      <c r="F11" s="9"/>
      <c r="G11" s="10"/>
      <c r="H11" s="8"/>
      <c r="I11" s="9"/>
      <c r="J11" s="10"/>
      <c r="K11" s="8"/>
      <c r="L11" s="9"/>
      <c r="M11" s="10"/>
      <c r="N11" s="8"/>
      <c r="O11" s="9"/>
      <c r="P11" s="10"/>
      <c r="Q11" s="50"/>
      <c r="R11" s="50"/>
      <c r="S11" s="87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</row>
    <row r="12" spans="1:35">
      <c r="A12" s="47" t="s">
        <v>59</v>
      </c>
      <c r="B12" s="75"/>
      <c r="C12" s="31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1"/>
      <c r="R12" s="50"/>
      <c r="S12" s="87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</row>
    <row r="13" spans="1:35">
      <c r="B13" s="75"/>
      <c r="C13" s="31"/>
      <c r="D13" s="10"/>
      <c r="E13" s="8"/>
      <c r="F13" s="9"/>
      <c r="G13" s="10"/>
      <c r="H13" s="8"/>
      <c r="I13" s="9"/>
      <c r="J13" s="10"/>
      <c r="K13" s="8"/>
      <c r="L13" s="9"/>
      <c r="M13" s="10"/>
      <c r="N13" s="8"/>
      <c r="O13" s="9"/>
      <c r="P13" s="10"/>
      <c r="Q13" s="50"/>
      <c r="R13" s="50"/>
      <c r="S13" s="87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</row>
    <row r="14" spans="1:35">
      <c r="A14" s="73" t="s">
        <v>199</v>
      </c>
      <c r="B14" s="11"/>
      <c r="C14" s="40"/>
      <c r="D14" s="44"/>
      <c r="E14" s="11"/>
      <c r="F14" s="40"/>
      <c r="G14" s="44"/>
      <c r="H14" s="11"/>
      <c r="I14" s="40"/>
      <c r="J14" s="44"/>
      <c r="K14" s="11"/>
      <c r="L14" s="40"/>
      <c r="M14" s="44"/>
      <c r="N14" s="11"/>
      <c r="O14" s="40"/>
      <c r="P14" s="44"/>
      <c r="Q14" s="40"/>
      <c r="R14" s="40"/>
      <c r="S14" s="91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</row>
    <row r="15" spans="1:35">
      <c r="A15" s="73" t="s">
        <v>200</v>
      </c>
      <c r="B15" s="49"/>
      <c r="C15" s="50"/>
      <c r="D15" s="51"/>
      <c r="E15" s="49"/>
      <c r="F15" s="50"/>
      <c r="G15" s="51"/>
      <c r="H15" s="49"/>
      <c r="I15" s="50"/>
      <c r="J15" s="51"/>
      <c r="K15" s="49"/>
      <c r="L15" s="50"/>
      <c r="M15" s="51"/>
      <c r="N15" s="49"/>
      <c r="O15" s="50"/>
      <c r="P15" s="51"/>
      <c r="Q15" s="80"/>
      <c r="R15" s="80"/>
      <c r="S15" s="92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</row>
    <row r="16" spans="1:35">
      <c r="A16" s="53" t="s">
        <v>168</v>
      </c>
      <c r="B16" s="49"/>
      <c r="C16" s="50"/>
      <c r="D16" s="51"/>
      <c r="E16" s="49"/>
      <c r="F16" s="50"/>
      <c r="G16" s="51"/>
      <c r="H16" s="49"/>
      <c r="I16" s="50"/>
      <c r="J16" s="51"/>
      <c r="K16" s="49"/>
      <c r="L16" s="50"/>
      <c r="M16" s="51"/>
      <c r="N16" s="49"/>
      <c r="O16" s="50"/>
      <c r="P16" s="51"/>
      <c r="Q16" s="80"/>
      <c r="R16" s="50"/>
      <c r="S16" s="92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</row>
    <row r="17" spans="1:35">
      <c r="A17" s="53" t="s">
        <v>119</v>
      </c>
      <c r="B17" s="49"/>
      <c r="C17" s="50"/>
      <c r="D17" s="51"/>
      <c r="E17" s="49"/>
      <c r="F17" s="50"/>
      <c r="G17" s="51"/>
      <c r="H17" s="49"/>
      <c r="I17" s="50"/>
      <c r="J17" s="51"/>
      <c r="K17" s="49"/>
      <c r="L17" s="50"/>
      <c r="M17" s="51"/>
      <c r="N17" s="49"/>
      <c r="O17" s="50"/>
      <c r="P17" s="51"/>
      <c r="Q17" s="80"/>
      <c r="R17" s="80"/>
      <c r="S17" s="92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</row>
    <row r="18" spans="1:35">
      <c r="A18" s="53" t="s">
        <v>169</v>
      </c>
      <c r="B18" s="49"/>
      <c r="C18" s="50"/>
      <c r="D18" s="51"/>
      <c r="E18" s="49"/>
      <c r="F18" s="50"/>
      <c r="G18" s="51"/>
      <c r="H18" s="49"/>
      <c r="I18" s="50"/>
      <c r="J18" s="51"/>
      <c r="K18" s="49"/>
      <c r="L18" s="50"/>
      <c r="M18" s="51"/>
      <c r="N18" s="49"/>
      <c r="O18" s="50"/>
      <c r="P18" s="51"/>
      <c r="Q18" s="80"/>
      <c r="R18" s="50"/>
      <c r="S18" s="92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</row>
    <row r="19" spans="1:35">
      <c r="A19" s="54" t="s">
        <v>120</v>
      </c>
      <c r="B19" s="55"/>
      <c r="C19" s="56"/>
      <c r="D19" s="57"/>
      <c r="E19" s="55"/>
      <c r="F19" s="56"/>
      <c r="G19" s="57"/>
      <c r="H19" s="55"/>
      <c r="I19" s="56"/>
      <c r="J19" s="57"/>
      <c r="K19" s="55"/>
      <c r="L19" s="56"/>
      <c r="M19" s="57"/>
      <c r="N19" s="55"/>
      <c r="O19" s="56"/>
      <c r="P19" s="57"/>
      <c r="Q19" s="80"/>
      <c r="R19" s="80"/>
      <c r="S19" s="93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</row>
    <row r="20" spans="1:35">
      <c r="A20" s="39" t="s">
        <v>121</v>
      </c>
      <c r="B20" s="35"/>
      <c r="C20" s="32"/>
      <c r="D20" s="36"/>
      <c r="E20" s="35"/>
      <c r="F20" s="32"/>
      <c r="G20" s="36"/>
      <c r="H20" s="35"/>
      <c r="I20" s="32"/>
      <c r="J20" s="36"/>
      <c r="K20" s="35"/>
      <c r="L20" s="32"/>
      <c r="M20" s="36"/>
      <c r="N20" s="35"/>
      <c r="O20" s="32"/>
      <c r="P20" s="36"/>
      <c r="Q20" s="32"/>
      <c r="R20" s="32"/>
      <c r="S20" s="90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</row>
    <row r="21" spans="1:35">
      <c r="A21" s="53"/>
      <c r="B21" s="49"/>
      <c r="C21" s="50"/>
      <c r="D21" s="51"/>
      <c r="E21" s="49"/>
      <c r="F21" s="50"/>
      <c r="G21" s="51"/>
      <c r="H21" s="49"/>
      <c r="I21" s="50"/>
      <c r="J21" s="51"/>
      <c r="K21" s="49"/>
      <c r="L21" s="50"/>
      <c r="M21" s="51"/>
      <c r="N21" s="49"/>
      <c r="O21" s="50"/>
      <c r="P21" s="51"/>
      <c r="Q21" s="50"/>
      <c r="R21" s="50"/>
      <c r="S21" s="92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</row>
    <row r="22" spans="1:35" ht="14" thickBot="1">
      <c r="A22" s="34" t="s">
        <v>194</v>
      </c>
      <c r="B22" s="55">
        <f>B10-B20</f>
        <v>0</v>
      </c>
      <c r="C22" s="56">
        <f t="shared" ref="C22:R22" si="1">C10-C20</f>
        <v>0</v>
      </c>
      <c r="D22" s="57">
        <f t="shared" si="1"/>
        <v>0</v>
      </c>
      <c r="E22" s="55">
        <f t="shared" si="1"/>
        <v>0</v>
      </c>
      <c r="F22" s="56">
        <f t="shared" si="1"/>
        <v>0</v>
      </c>
      <c r="G22" s="57">
        <f t="shared" si="1"/>
        <v>0</v>
      </c>
      <c r="H22" s="55">
        <f t="shared" si="1"/>
        <v>0</v>
      </c>
      <c r="I22" s="56">
        <f t="shared" si="1"/>
        <v>0</v>
      </c>
      <c r="J22" s="57">
        <f t="shared" si="1"/>
        <v>0</v>
      </c>
      <c r="K22" s="55">
        <f t="shared" si="1"/>
        <v>0</v>
      </c>
      <c r="L22" s="56">
        <f t="shared" si="1"/>
        <v>0</v>
      </c>
      <c r="M22" s="57">
        <f t="shared" si="1"/>
        <v>0</v>
      </c>
      <c r="N22" s="55">
        <f t="shared" si="1"/>
        <v>0</v>
      </c>
      <c r="O22" s="56">
        <f t="shared" si="1"/>
        <v>0</v>
      </c>
      <c r="P22" s="57">
        <f t="shared" si="1"/>
        <v>0</v>
      </c>
      <c r="Q22" s="56">
        <f t="shared" si="1"/>
        <v>0</v>
      </c>
      <c r="R22" s="56">
        <f t="shared" si="1"/>
        <v>0</v>
      </c>
      <c r="S22" s="93">
        <f>S10-S20</f>
        <v>0</v>
      </c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</row>
    <row r="23" spans="1:35" s="496" customFormat="1" ht="14" thickBot="1">
      <c r="A23" s="490" t="s">
        <v>123</v>
      </c>
      <c r="B23" s="491">
        <f>(195+50+50)*1000</f>
        <v>295000</v>
      </c>
      <c r="C23" s="492">
        <v>280000</v>
      </c>
      <c r="D23" s="493">
        <f>U23+V23+W23</f>
        <v>302757.06</v>
      </c>
      <c r="E23" s="491">
        <v>160000</v>
      </c>
      <c r="F23" s="492">
        <v>140000</v>
      </c>
      <c r="G23" s="493">
        <f>X23+Y23+Z23</f>
        <v>164369.04</v>
      </c>
      <c r="H23" s="491">
        <v>150000</v>
      </c>
      <c r="I23" s="492">
        <v>130000</v>
      </c>
      <c r="J23" s="493">
        <f>AA23+AB23+AC23</f>
        <v>194784.75999999998</v>
      </c>
      <c r="K23" s="491">
        <v>140000</v>
      </c>
      <c r="L23" s="492">
        <v>120000</v>
      </c>
      <c r="M23" s="493">
        <f>AD23+AE23+AF23</f>
        <v>171364.32</v>
      </c>
      <c r="N23" s="491">
        <v>140000</v>
      </c>
      <c r="O23" s="492">
        <v>110000</v>
      </c>
      <c r="P23" s="493">
        <f>AG23+AH23+AI23</f>
        <v>180137.26</v>
      </c>
      <c r="Q23" s="494">
        <f>E23+H23+K23+N23</f>
        <v>590000</v>
      </c>
      <c r="R23" s="494">
        <f>F23+I23+L23+O23</f>
        <v>500000</v>
      </c>
      <c r="S23" s="495">
        <f>G23+J23+M23+P23</f>
        <v>710655.38</v>
      </c>
      <c r="U23" s="497">
        <f>-U10</f>
        <v>224039.52</v>
      </c>
      <c r="V23" s="497">
        <f t="shared" ref="V23:AI23" si="2">-V10</f>
        <v>41607.11</v>
      </c>
      <c r="W23" s="497">
        <f t="shared" si="2"/>
        <v>37110.43</v>
      </c>
      <c r="X23" s="497">
        <f t="shared" si="2"/>
        <v>53983.68</v>
      </c>
      <c r="Y23" s="497">
        <f t="shared" si="2"/>
        <v>53983.68</v>
      </c>
      <c r="Z23" s="497">
        <f t="shared" si="2"/>
        <v>56401.68</v>
      </c>
      <c r="AA23" s="497">
        <f t="shared" si="2"/>
        <v>81899.149999999994</v>
      </c>
      <c r="AB23" s="497">
        <f t="shared" si="2"/>
        <v>57450.68</v>
      </c>
      <c r="AC23" s="497">
        <f t="shared" si="2"/>
        <v>55434.93</v>
      </c>
      <c r="AD23" s="497">
        <f t="shared" si="2"/>
        <v>60653.8</v>
      </c>
      <c r="AE23" s="497">
        <f t="shared" si="2"/>
        <v>55489.67</v>
      </c>
      <c r="AF23" s="497">
        <f t="shared" si="2"/>
        <v>55220.85</v>
      </c>
      <c r="AG23" s="497">
        <f t="shared" si="2"/>
        <v>55702.79</v>
      </c>
      <c r="AH23" s="497">
        <f t="shared" si="2"/>
        <v>62007.34</v>
      </c>
      <c r="AI23" s="497">
        <f t="shared" si="2"/>
        <v>62427.13</v>
      </c>
    </row>
    <row r="24" spans="1:35">
      <c r="A24" s="59" t="s">
        <v>125</v>
      </c>
      <c r="B24" s="63"/>
      <c r="C24" s="64"/>
      <c r="D24" s="79"/>
      <c r="E24" s="63"/>
      <c r="F24" s="64"/>
      <c r="G24" s="65"/>
      <c r="H24" s="63"/>
      <c r="I24" s="64"/>
      <c r="J24" s="65"/>
      <c r="K24" s="63"/>
      <c r="L24" s="64"/>
      <c r="M24" s="65"/>
      <c r="N24" s="63"/>
      <c r="O24" s="64"/>
      <c r="P24" s="65"/>
      <c r="Q24" s="64"/>
      <c r="R24" s="64"/>
      <c r="S24" s="95"/>
    </row>
    <row r="25" spans="1:35">
      <c r="A25" s="59"/>
      <c r="B25" s="49"/>
      <c r="C25" s="50"/>
      <c r="D25" s="51"/>
      <c r="E25" s="49"/>
      <c r="F25" s="50"/>
      <c r="G25" s="51"/>
      <c r="H25" s="49"/>
      <c r="I25" s="50"/>
      <c r="J25" s="51"/>
      <c r="K25" s="49"/>
      <c r="L25" s="50"/>
      <c r="M25" s="51"/>
      <c r="N25" s="49"/>
      <c r="O25" s="50"/>
      <c r="P25" s="51"/>
      <c r="Q25" s="82"/>
      <c r="R25" s="50" t="s">
        <v>201</v>
      </c>
      <c r="S25" s="92" t="s">
        <v>201</v>
      </c>
    </row>
    <row r="26" spans="1:35">
      <c r="A26" t="s">
        <v>176</v>
      </c>
      <c r="B26" s="11">
        <v>0.42</v>
      </c>
      <c r="C26" s="40">
        <v>0.42</v>
      </c>
      <c r="D26" s="44">
        <v>0.42</v>
      </c>
      <c r="E26" s="11">
        <v>0.42</v>
      </c>
      <c r="F26" s="40">
        <v>0.42</v>
      </c>
      <c r="G26" s="44">
        <v>0.42</v>
      </c>
      <c r="H26" s="11">
        <v>0.42</v>
      </c>
      <c r="I26" s="40">
        <v>0.42</v>
      </c>
      <c r="J26" s="44">
        <v>0.42</v>
      </c>
      <c r="K26" s="11">
        <v>0.42</v>
      </c>
      <c r="L26" s="40">
        <v>0.42</v>
      </c>
      <c r="M26" s="44">
        <v>0.42</v>
      </c>
      <c r="N26" s="11">
        <v>0.42</v>
      </c>
      <c r="O26" s="40">
        <v>0.42</v>
      </c>
      <c r="P26" s="44">
        <v>0.42</v>
      </c>
      <c r="Q26" s="46"/>
      <c r="R26" s="9"/>
      <c r="S26" s="91"/>
    </row>
    <row r="27" spans="1:35">
      <c r="B27" s="11"/>
      <c r="C27" s="40"/>
      <c r="D27" s="44"/>
      <c r="E27" s="11"/>
      <c r="F27" s="40"/>
      <c r="G27" s="44"/>
      <c r="H27" s="11"/>
      <c r="I27" s="40"/>
      <c r="J27" s="44"/>
      <c r="K27" s="11"/>
      <c r="L27" s="40"/>
      <c r="M27" s="44"/>
      <c r="N27" s="11"/>
      <c r="O27" s="40"/>
      <c r="P27" s="44"/>
      <c r="Q27" s="46"/>
      <c r="R27" s="9"/>
      <c r="S27" s="91"/>
    </row>
    <row r="28" spans="1:35">
      <c r="B28" s="11"/>
      <c r="C28" s="40"/>
      <c r="D28" s="44"/>
      <c r="E28" s="11"/>
      <c r="F28" s="40"/>
      <c r="G28" s="44"/>
      <c r="H28" s="11"/>
      <c r="I28" s="40"/>
      <c r="J28" s="44"/>
      <c r="K28" s="11"/>
      <c r="L28" s="40"/>
      <c r="M28" s="44"/>
      <c r="N28" s="11"/>
      <c r="O28" s="40"/>
      <c r="P28" s="44"/>
      <c r="Q28" s="46"/>
      <c r="R28" s="9"/>
      <c r="S28" s="91"/>
    </row>
    <row r="29" spans="1:35">
      <c r="A29" s="58"/>
      <c r="B29" s="72">
        <f>IF(B24&lt;0,"NA",B24*(1-B26))</f>
        <v>0</v>
      </c>
      <c r="C29" s="50">
        <f t="shared" ref="C29:P29" si="3">IF(C24&lt;0,"NA",C24*(1-C26))</f>
        <v>0</v>
      </c>
      <c r="D29" s="51">
        <f t="shared" si="3"/>
        <v>0</v>
      </c>
      <c r="E29" s="49">
        <f t="shared" si="3"/>
        <v>0</v>
      </c>
      <c r="F29" s="50">
        <f t="shared" si="3"/>
        <v>0</v>
      </c>
      <c r="G29" s="51">
        <f t="shared" si="3"/>
        <v>0</v>
      </c>
      <c r="H29" s="49">
        <f t="shared" si="3"/>
        <v>0</v>
      </c>
      <c r="I29" s="50">
        <f t="shared" si="3"/>
        <v>0</v>
      </c>
      <c r="J29" s="51">
        <f t="shared" si="3"/>
        <v>0</v>
      </c>
      <c r="K29" s="49">
        <f t="shared" si="3"/>
        <v>0</v>
      </c>
      <c r="L29" s="50">
        <f t="shared" si="3"/>
        <v>0</v>
      </c>
      <c r="M29" s="51">
        <f t="shared" si="3"/>
        <v>0</v>
      </c>
      <c r="N29" s="49">
        <f t="shared" si="3"/>
        <v>0</v>
      </c>
      <c r="O29" s="50">
        <f t="shared" si="3"/>
        <v>0</v>
      </c>
      <c r="P29" s="51">
        <f t="shared" si="3"/>
        <v>0</v>
      </c>
      <c r="Q29" s="82"/>
      <c r="R29" s="50"/>
      <c r="S29" s="92"/>
    </row>
    <row r="30" spans="1:35">
      <c r="A30" s="61"/>
      <c r="B30" s="60"/>
      <c r="C30" s="40"/>
      <c r="D30" s="44"/>
      <c r="E30" s="11"/>
      <c r="F30" s="40"/>
      <c r="G30" s="44"/>
      <c r="H30" s="11"/>
      <c r="I30" s="40"/>
      <c r="J30" s="44"/>
      <c r="K30" s="11"/>
      <c r="L30" s="40"/>
      <c r="M30" s="44"/>
      <c r="N30" s="11"/>
      <c r="O30" s="40"/>
      <c r="P30" s="44"/>
      <c r="Q30" s="46"/>
      <c r="R30" s="9"/>
      <c r="S30" s="91"/>
    </row>
    <row r="31" spans="1:35">
      <c r="A31" s="2"/>
      <c r="B31" s="60"/>
      <c r="C31"/>
      <c r="E31" s="11"/>
      <c r="H31" s="11"/>
      <c r="K31" s="11"/>
      <c r="N31" s="11"/>
      <c r="Q31" s="46"/>
      <c r="R31" s="9"/>
      <c r="S31" s="91"/>
    </row>
    <row r="32" spans="1:35">
      <c r="A32" s="2"/>
      <c r="B32" s="60"/>
      <c r="C32"/>
      <c r="E32" s="11"/>
      <c r="H32" s="11"/>
      <c r="K32" s="11"/>
      <c r="N32" s="11"/>
      <c r="Q32" s="46"/>
      <c r="R32" s="9"/>
      <c r="S32" s="91"/>
    </row>
    <row r="33" spans="1:19">
      <c r="A33" s="2"/>
      <c r="B33" s="60"/>
      <c r="C33"/>
      <c r="E33" s="11"/>
      <c r="H33" s="11"/>
      <c r="K33" s="11"/>
      <c r="N33" s="11"/>
      <c r="Q33" s="46"/>
      <c r="R33" s="9"/>
      <c r="S33" s="91"/>
    </row>
    <row r="34" spans="1:19">
      <c r="A34" s="62"/>
      <c r="B34" s="60"/>
      <c r="C34"/>
      <c r="E34" s="11"/>
      <c r="H34" s="11"/>
      <c r="K34" s="11"/>
      <c r="N34" s="11"/>
      <c r="Q34" s="46"/>
      <c r="R34" s="9"/>
      <c r="S34" s="91"/>
    </row>
    <row r="35" spans="1:19">
      <c r="A35" s="5"/>
      <c r="B35" s="8"/>
      <c r="C35" s="31"/>
      <c r="D35" s="10"/>
      <c r="E35" s="8"/>
      <c r="F35" s="9"/>
      <c r="G35" s="10"/>
      <c r="H35" s="8"/>
      <c r="I35" s="9"/>
      <c r="J35" s="10"/>
      <c r="K35" s="8"/>
      <c r="L35" s="9"/>
      <c r="M35" s="10"/>
      <c r="N35" s="8"/>
      <c r="O35" s="9"/>
      <c r="P35" s="10"/>
      <c r="Q35" s="46"/>
      <c r="R35" s="9"/>
      <c r="S35" s="87"/>
    </row>
    <row r="36" spans="1:19">
      <c r="A36" s="5"/>
      <c r="B36" s="8"/>
      <c r="C36" s="31"/>
      <c r="D36" s="10"/>
      <c r="E36" s="8"/>
      <c r="F36" s="9"/>
      <c r="G36" s="10"/>
      <c r="H36" s="8"/>
      <c r="I36" s="9"/>
      <c r="J36" s="10"/>
      <c r="K36" s="8"/>
      <c r="L36" s="9"/>
      <c r="M36" s="10"/>
      <c r="N36" s="8"/>
      <c r="O36" s="9"/>
      <c r="P36" s="10"/>
      <c r="Q36" s="46"/>
      <c r="R36" s="9"/>
      <c r="S36" s="87"/>
    </row>
    <row r="37" spans="1:19">
      <c r="A37" s="5"/>
      <c r="B37" s="8"/>
      <c r="C37" s="31"/>
      <c r="D37" s="10"/>
      <c r="E37" s="8"/>
      <c r="F37" s="9"/>
      <c r="G37" s="10"/>
      <c r="H37" s="8"/>
      <c r="I37" s="9"/>
      <c r="J37" s="10"/>
      <c r="K37" s="8"/>
      <c r="L37" s="9"/>
      <c r="M37" s="10"/>
      <c r="N37" s="8"/>
      <c r="O37" s="9"/>
      <c r="P37" s="10"/>
      <c r="Q37" s="46"/>
      <c r="R37" s="9"/>
      <c r="S37" s="87"/>
    </row>
    <row r="38" spans="1:19">
      <c r="A38" s="5"/>
      <c r="B38" s="11"/>
      <c r="C38" s="31"/>
      <c r="D38" s="10"/>
      <c r="E38" s="11"/>
      <c r="F38" s="9"/>
      <c r="G38" s="10"/>
      <c r="H38" s="11"/>
      <c r="I38" s="9"/>
      <c r="J38" s="10"/>
      <c r="K38" s="11"/>
      <c r="L38" s="9"/>
      <c r="M38" s="10"/>
      <c r="N38" s="11"/>
      <c r="O38" s="9"/>
      <c r="P38" s="10"/>
      <c r="Q38" s="46"/>
      <c r="R38" s="9"/>
      <c r="S38" s="87"/>
    </row>
    <row r="39" spans="1:19">
      <c r="A39" s="5"/>
      <c r="B39" s="8"/>
      <c r="C39" s="31"/>
      <c r="D39" s="10"/>
      <c r="E39" s="8"/>
      <c r="F39" s="9"/>
      <c r="G39" s="10"/>
      <c r="H39" s="8"/>
      <c r="I39" s="9"/>
      <c r="J39" s="10"/>
      <c r="K39" s="8"/>
      <c r="L39" s="9"/>
      <c r="M39" s="10"/>
      <c r="N39" s="8"/>
      <c r="O39" s="9"/>
      <c r="P39" s="10"/>
      <c r="Q39" s="46"/>
      <c r="R39" s="9"/>
      <c r="S39" s="87"/>
    </row>
    <row r="40" spans="1:19">
      <c r="A40" s="24"/>
      <c r="B40" s="6"/>
      <c r="C40" s="32"/>
      <c r="D40" s="7"/>
      <c r="E40" s="6"/>
      <c r="F40" s="1"/>
      <c r="G40" s="7"/>
      <c r="H40" s="6"/>
      <c r="I40" s="1"/>
      <c r="J40" s="7"/>
      <c r="K40" s="6"/>
      <c r="L40" s="1"/>
      <c r="M40" s="7"/>
      <c r="N40" s="6"/>
      <c r="O40" s="1"/>
      <c r="P40" s="7"/>
      <c r="Q40" s="83"/>
      <c r="R40" s="1"/>
      <c r="S40" s="89"/>
    </row>
    <row r="41" spans="1:19">
      <c r="A41" s="74"/>
      <c r="B41" s="8"/>
      <c r="C41" s="31"/>
      <c r="D41" s="10"/>
      <c r="E41" s="8"/>
      <c r="F41" s="9"/>
      <c r="G41" s="10"/>
      <c r="H41" s="8"/>
      <c r="I41" s="9"/>
      <c r="J41" s="10"/>
      <c r="K41" s="8"/>
      <c r="L41" s="9"/>
      <c r="M41" s="10"/>
      <c r="N41" s="8"/>
      <c r="O41" s="9"/>
      <c r="P41" s="10"/>
      <c r="Q41" s="46"/>
      <c r="R41" s="9"/>
      <c r="S41" s="87"/>
    </row>
    <row r="42" spans="1:19">
      <c r="A42" s="53"/>
      <c r="B42" s="49"/>
      <c r="C42" s="50"/>
      <c r="D42" s="51"/>
      <c r="E42" s="49"/>
      <c r="F42" s="50"/>
      <c r="G42" s="51"/>
      <c r="H42" s="49"/>
      <c r="I42" s="50"/>
      <c r="J42" s="51"/>
      <c r="K42" s="49"/>
      <c r="L42" s="50"/>
      <c r="M42" s="51"/>
      <c r="N42" s="49"/>
      <c r="O42" s="50"/>
      <c r="P42" s="51"/>
      <c r="Q42" s="82"/>
      <c r="R42" s="50"/>
      <c r="S42" s="92"/>
    </row>
    <row r="43" spans="1:19">
      <c r="A43" s="3"/>
      <c r="B43" s="76"/>
      <c r="C43" s="56"/>
      <c r="D43" s="57"/>
      <c r="E43" s="55"/>
      <c r="F43" s="56"/>
      <c r="G43" s="57"/>
      <c r="H43" s="55"/>
      <c r="I43" s="56"/>
      <c r="J43" s="57"/>
      <c r="K43" s="55"/>
      <c r="L43" s="56"/>
      <c r="M43" s="57"/>
      <c r="N43" s="55"/>
      <c r="O43" s="56"/>
      <c r="P43" s="57"/>
      <c r="Q43" s="1"/>
      <c r="R43" s="1"/>
      <c r="S43" s="89"/>
    </row>
    <row r="44" spans="1:19">
      <c r="A44" s="2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9"/>
      <c r="R44" s="9"/>
      <c r="S44" s="87"/>
    </row>
    <row r="45" spans="1:19">
      <c r="A45" s="3"/>
      <c r="B45" s="55"/>
      <c r="C45" s="56"/>
      <c r="D45" s="57"/>
      <c r="E45" s="55"/>
      <c r="F45" s="56"/>
      <c r="G45" s="57"/>
      <c r="H45" s="55"/>
      <c r="I45" s="56"/>
      <c r="J45" s="57"/>
      <c r="K45" s="55"/>
      <c r="L45" s="56"/>
      <c r="M45" s="57"/>
      <c r="N45" s="55"/>
      <c r="O45" s="56"/>
      <c r="P45" s="57"/>
      <c r="Q45" s="24"/>
      <c r="R45" s="1"/>
      <c r="S45" s="89"/>
    </row>
    <row r="46" spans="1:19">
      <c r="A46" s="2"/>
      <c r="B46" s="49"/>
      <c r="C46" s="50"/>
      <c r="D46" s="51"/>
      <c r="E46" s="49"/>
      <c r="F46" s="50"/>
      <c r="G46" s="51"/>
      <c r="H46" s="49"/>
      <c r="I46" s="50"/>
      <c r="J46" s="51"/>
      <c r="K46" s="49"/>
      <c r="L46" s="50"/>
      <c r="M46" s="51"/>
      <c r="N46" s="49"/>
      <c r="O46" s="50"/>
      <c r="P46" s="51"/>
      <c r="Q46" s="50"/>
      <c r="R46" s="50"/>
      <c r="S46" s="92"/>
    </row>
    <row r="47" spans="1:19">
      <c r="A47" s="3"/>
      <c r="B47" s="5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77"/>
      <c r="R47" s="56"/>
      <c r="S47" s="93"/>
    </row>
    <row r="48" spans="1:19">
      <c r="A48" s="53"/>
      <c r="B48" s="49"/>
      <c r="C48" s="50"/>
      <c r="D48" s="51"/>
      <c r="E48" s="49"/>
      <c r="F48" s="50"/>
      <c r="G48" s="51"/>
      <c r="H48" s="49"/>
      <c r="I48" s="50"/>
      <c r="J48" s="51"/>
      <c r="K48" s="49"/>
      <c r="L48" s="50"/>
      <c r="M48" s="51"/>
      <c r="N48" s="49"/>
      <c r="O48" s="50"/>
      <c r="P48" s="51"/>
      <c r="Q48" s="50"/>
      <c r="R48" s="50"/>
      <c r="S48" s="92"/>
    </row>
    <row r="49" spans="1:19">
      <c r="A49" s="24"/>
      <c r="B49" s="78"/>
      <c r="C49" s="32"/>
      <c r="D49" s="7"/>
      <c r="E49" s="6"/>
      <c r="F49" s="1"/>
      <c r="G49" s="7"/>
      <c r="H49" s="6"/>
      <c r="I49" s="1"/>
      <c r="J49" s="7"/>
      <c r="K49" s="6"/>
      <c r="L49" s="1"/>
      <c r="M49" s="7"/>
      <c r="N49" s="6"/>
      <c r="O49" s="1"/>
      <c r="P49" s="7"/>
      <c r="Q49" s="1"/>
      <c r="R49" s="1"/>
      <c r="S49" s="89"/>
    </row>
    <row r="50" spans="1:19">
      <c r="A50" s="5"/>
      <c r="B50" s="8"/>
      <c r="C50" s="31"/>
      <c r="D50" s="10"/>
      <c r="E50" s="8"/>
      <c r="F50" s="9"/>
      <c r="G50" s="10"/>
      <c r="H50" s="8"/>
      <c r="I50" s="9"/>
      <c r="J50" s="10"/>
      <c r="K50" s="8"/>
      <c r="L50" s="9"/>
      <c r="M50" s="10"/>
      <c r="N50" s="8"/>
      <c r="O50" s="9"/>
      <c r="P50" s="10"/>
      <c r="Q50" s="9"/>
      <c r="R50" s="9"/>
      <c r="S50" s="87"/>
    </row>
    <row r="51" spans="1:19">
      <c r="A51" s="25" t="s">
        <v>179</v>
      </c>
      <c r="B51" s="8"/>
      <c r="C51" s="31"/>
      <c r="D51" s="10"/>
      <c r="E51" s="8"/>
      <c r="F51" s="9"/>
      <c r="G51" s="10"/>
      <c r="H51" s="8"/>
      <c r="I51" s="9"/>
      <c r="J51" s="10"/>
      <c r="K51" s="8"/>
      <c r="L51" s="9"/>
      <c r="M51" s="10"/>
      <c r="N51" s="8"/>
      <c r="O51" s="9"/>
      <c r="P51" s="10"/>
      <c r="Q51" s="9"/>
      <c r="R51" s="9"/>
      <c r="S51" s="87"/>
    </row>
    <row r="52" spans="1:19">
      <c r="A52" s="5" t="s">
        <v>156</v>
      </c>
      <c r="B52" s="16"/>
      <c r="C52" s="31"/>
      <c r="D52" s="10"/>
      <c r="E52" s="8"/>
      <c r="F52" s="9"/>
      <c r="G52" s="10"/>
      <c r="H52" s="8"/>
      <c r="I52" s="9"/>
      <c r="J52" s="10"/>
      <c r="K52" s="8"/>
      <c r="L52" s="9"/>
      <c r="M52" s="10"/>
      <c r="N52" s="8"/>
      <c r="O52" s="9"/>
      <c r="P52" s="10"/>
      <c r="Q52" s="9"/>
      <c r="R52" s="9"/>
      <c r="S52" s="87"/>
    </row>
    <row r="53" spans="1:19">
      <c r="A53" s="5" t="s">
        <v>157</v>
      </c>
      <c r="B53" s="16">
        <v>1</v>
      </c>
      <c r="C53" s="31"/>
      <c r="D53" s="10"/>
      <c r="E53" s="8"/>
      <c r="F53" s="9"/>
      <c r="G53" s="10"/>
      <c r="H53" s="8"/>
      <c r="I53" s="9"/>
      <c r="J53" s="10"/>
      <c r="K53" s="8"/>
      <c r="L53" s="9"/>
      <c r="M53" s="10"/>
      <c r="N53" s="8"/>
      <c r="O53" s="9"/>
      <c r="P53" s="10"/>
      <c r="Q53" s="9"/>
      <c r="R53" s="9"/>
      <c r="S53" s="87"/>
    </row>
    <row r="54" spans="1:19">
      <c r="A54" s="5" t="s">
        <v>158</v>
      </c>
      <c r="B54" s="16"/>
      <c r="C54" s="31"/>
      <c r="D54" s="10"/>
      <c r="E54" s="8"/>
      <c r="F54" s="9"/>
      <c r="G54" s="10"/>
      <c r="H54" s="8"/>
      <c r="I54" s="9"/>
      <c r="J54" s="10"/>
      <c r="K54" s="8"/>
      <c r="L54" s="9"/>
      <c r="M54" s="10"/>
      <c r="N54" s="8"/>
      <c r="O54" s="9"/>
      <c r="P54" s="10"/>
      <c r="Q54" s="9"/>
      <c r="R54" s="9"/>
      <c r="S54" s="87"/>
    </row>
    <row r="55" spans="1:19">
      <c r="A55" s="5" t="s">
        <v>180</v>
      </c>
      <c r="B55" s="16"/>
      <c r="C55" s="31"/>
      <c r="D55" s="10"/>
      <c r="E55" s="8"/>
      <c r="F55" s="9"/>
      <c r="G55" s="10"/>
      <c r="H55" s="8"/>
      <c r="I55" s="9"/>
      <c r="J55" s="10"/>
      <c r="K55" s="8"/>
      <c r="L55" s="9"/>
      <c r="M55" s="10"/>
      <c r="N55" s="8"/>
      <c r="O55" s="9"/>
      <c r="P55" s="10"/>
      <c r="Q55" s="9"/>
      <c r="R55" s="9"/>
      <c r="S55" s="87"/>
    </row>
    <row r="56" spans="1:19">
      <c r="A56" t="s">
        <v>160</v>
      </c>
      <c r="B56" s="16"/>
      <c r="C56" s="31"/>
      <c r="D56" s="10"/>
      <c r="E56" s="8"/>
      <c r="F56" s="9"/>
      <c r="G56" s="10"/>
      <c r="H56" s="8"/>
      <c r="I56" s="9"/>
      <c r="J56" s="10"/>
      <c r="K56" s="8"/>
      <c r="L56" s="9"/>
      <c r="M56" s="10"/>
      <c r="N56" s="8"/>
      <c r="O56" s="9"/>
      <c r="P56" s="10"/>
      <c r="Q56" s="9"/>
      <c r="R56" s="9"/>
      <c r="S56" s="87"/>
    </row>
    <row r="57" spans="1:19">
      <c r="A57" t="s">
        <v>161</v>
      </c>
      <c r="B57" s="16"/>
      <c r="C57" s="31"/>
      <c r="D57" s="10"/>
      <c r="E57" s="8"/>
      <c r="F57" s="9"/>
      <c r="G57" s="10"/>
      <c r="H57" s="8"/>
      <c r="I57" s="9"/>
      <c r="J57" s="10"/>
      <c r="K57" s="8"/>
      <c r="L57" s="9"/>
      <c r="M57" s="10"/>
      <c r="N57" s="8"/>
      <c r="O57" s="9"/>
      <c r="P57" s="10"/>
      <c r="Q57" s="9"/>
      <c r="R57" s="9"/>
      <c r="S57" s="87"/>
    </row>
    <row r="58" spans="1:19">
      <c r="A58" t="s">
        <v>162</v>
      </c>
      <c r="B58" s="16"/>
      <c r="C58" s="31"/>
      <c r="D58" s="10"/>
      <c r="E58" s="8"/>
      <c r="F58" s="9"/>
      <c r="G58" s="10"/>
      <c r="H58" s="8"/>
      <c r="I58" s="9"/>
      <c r="J58" s="10"/>
      <c r="K58" s="8"/>
      <c r="L58" s="9"/>
      <c r="M58" s="10"/>
      <c r="N58" s="8"/>
      <c r="O58" s="9"/>
      <c r="P58" s="10"/>
      <c r="Q58" s="9"/>
      <c r="R58" s="9"/>
      <c r="S58" s="87"/>
    </row>
    <row r="59" spans="1:19">
      <c r="A59" t="s">
        <v>163</v>
      </c>
      <c r="B59" s="16">
        <v>1</v>
      </c>
      <c r="C59" s="31"/>
      <c r="D59" s="10"/>
      <c r="E59" s="8"/>
      <c r="F59" s="9"/>
      <c r="G59" s="10"/>
      <c r="H59" s="8"/>
      <c r="I59" s="9"/>
      <c r="J59" s="10"/>
      <c r="K59" s="8"/>
      <c r="L59" s="9"/>
      <c r="M59" s="10"/>
      <c r="N59" s="8"/>
      <c r="O59" s="9"/>
      <c r="P59" s="10"/>
      <c r="Q59" s="9"/>
      <c r="R59" s="9"/>
      <c r="S59" s="87"/>
    </row>
    <row r="60" spans="1:19">
      <c r="A60" t="s">
        <v>87</v>
      </c>
      <c r="B60" s="16">
        <v>1</v>
      </c>
      <c r="C60" s="31"/>
      <c r="D60" s="10"/>
      <c r="E60" s="8"/>
      <c r="F60" s="9"/>
      <c r="G60" s="10"/>
      <c r="H60" s="8"/>
      <c r="I60" s="9"/>
      <c r="J60" s="10"/>
      <c r="K60" s="8"/>
      <c r="L60" s="9"/>
      <c r="M60" s="10"/>
      <c r="N60" s="8"/>
      <c r="O60" s="9"/>
      <c r="P60" s="10"/>
      <c r="Q60" s="9"/>
      <c r="R60" s="9"/>
      <c r="S60" s="87"/>
    </row>
    <row r="61" spans="1:19">
      <c r="A61" t="s">
        <v>181</v>
      </c>
      <c r="B61" s="8"/>
      <c r="C61" s="31"/>
      <c r="D61" s="10"/>
      <c r="E61" s="8"/>
      <c r="F61" s="9"/>
      <c r="G61" s="10"/>
      <c r="H61" s="8"/>
      <c r="I61" s="9"/>
      <c r="J61" s="10"/>
      <c r="K61" s="8"/>
      <c r="L61" s="9"/>
      <c r="M61" s="10"/>
      <c r="N61" s="8"/>
      <c r="O61" s="9"/>
      <c r="P61" s="10"/>
      <c r="Q61" s="9"/>
      <c r="R61" s="9"/>
      <c r="S61" s="87"/>
    </row>
    <row r="62" spans="1:19" ht="14" thickBot="1">
      <c r="B62" s="12"/>
      <c r="C62" s="33"/>
      <c r="D62" s="14"/>
      <c r="E62" s="12"/>
      <c r="F62" s="13"/>
      <c r="G62" s="14"/>
      <c r="H62" s="12"/>
      <c r="I62" s="13"/>
      <c r="J62" s="14"/>
      <c r="K62" s="12"/>
      <c r="L62" s="13"/>
      <c r="M62" s="14"/>
      <c r="N62" s="12"/>
      <c r="O62" s="13"/>
      <c r="P62" s="14"/>
      <c r="Q62" s="13"/>
      <c r="R62" s="13"/>
      <c r="S62" s="96"/>
    </row>
  </sheetData>
  <printOptions gridLines="1" gridLinesSet="0"/>
  <pageMargins left="0.05" right="0.05" top="1" bottom="1" header="0.5" footer="0.5"/>
  <pageSetup paperSize="0" scale="28" firstPageNumber="25" orientation="landscape" useFirstPageNumber="1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/>
    </sheetView>
  </sheetViews>
  <sheetFormatPr baseColWidth="10" defaultColWidth="11.42578125" defaultRowHeight="13" x14ac:dyDescent="0"/>
  <cols>
    <col min="1" max="1" width="30.5703125" customWidth="1"/>
    <col min="2" max="2" width="8.85546875" customWidth="1"/>
    <col min="3" max="3" width="8.85546875" style="27" customWidth="1"/>
    <col min="4" max="11" width="8.85546875" customWidth="1"/>
    <col min="12" max="12" width="9.42578125" customWidth="1"/>
    <col min="13" max="16" width="8.85546875" customWidth="1"/>
    <col min="17" max="18" width="11.85546875" customWidth="1"/>
  </cols>
  <sheetData>
    <row r="1" spans="1:35" ht="14" thickBot="1">
      <c r="U1" s="97"/>
      <c r="V1" s="97"/>
      <c r="W1" s="97"/>
      <c r="X1" s="97"/>
      <c r="Y1" s="97"/>
      <c r="Z1" s="97"/>
      <c r="AA1" s="97"/>
      <c r="AB1" s="97"/>
      <c r="AC1" s="97"/>
    </row>
    <row r="2" spans="1:35">
      <c r="B2" s="15">
        <v>1996</v>
      </c>
      <c r="C2" s="28">
        <v>1996</v>
      </c>
      <c r="D2" s="19">
        <v>1996</v>
      </c>
      <c r="E2" s="15">
        <v>1997</v>
      </c>
      <c r="F2" s="18">
        <v>1997</v>
      </c>
      <c r="G2" s="19">
        <v>1997</v>
      </c>
      <c r="H2" s="15">
        <v>1997</v>
      </c>
      <c r="I2" s="18">
        <v>1997</v>
      </c>
      <c r="J2" s="19">
        <v>1997</v>
      </c>
      <c r="K2" s="15">
        <v>1997</v>
      </c>
      <c r="L2" s="18">
        <v>1997</v>
      </c>
      <c r="M2" s="19">
        <v>1997</v>
      </c>
      <c r="N2" s="15">
        <v>1997</v>
      </c>
      <c r="O2" s="18">
        <v>1997</v>
      </c>
      <c r="P2" s="19">
        <v>1997</v>
      </c>
      <c r="Q2" s="18" t="s">
        <v>211</v>
      </c>
      <c r="R2" s="18" t="s">
        <v>212</v>
      </c>
      <c r="S2" s="84"/>
      <c r="U2" s="98" t="s">
        <v>103</v>
      </c>
      <c r="V2" s="98" t="s">
        <v>103</v>
      </c>
      <c r="W2" s="98" t="s">
        <v>103</v>
      </c>
      <c r="X2" s="98" t="s">
        <v>103</v>
      </c>
      <c r="Y2" s="98" t="s">
        <v>103</v>
      </c>
      <c r="Z2" s="98" t="s">
        <v>103</v>
      </c>
      <c r="AA2" s="98" t="s">
        <v>103</v>
      </c>
      <c r="AB2" s="98" t="s">
        <v>103</v>
      </c>
      <c r="AC2" s="98" t="s">
        <v>103</v>
      </c>
      <c r="AD2" s="98" t="s">
        <v>103</v>
      </c>
      <c r="AE2" s="98" t="s">
        <v>103</v>
      </c>
      <c r="AF2" s="98" t="s">
        <v>103</v>
      </c>
      <c r="AG2" s="98"/>
      <c r="AH2" s="98"/>
      <c r="AI2" s="98"/>
    </row>
    <row r="3" spans="1:35">
      <c r="B3" s="16" t="s">
        <v>104</v>
      </c>
      <c r="C3" s="29" t="s">
        <v>104</v>
      </c>
      <c r="D3" s="21" t="s">
        <v>104</v>
      </c>
      <c r="E3" s="16" t="s">
        <v>105</v>
      </c>
      <c r="F3" s="20" t="s">
        <v>105</v>
      </c>
      <c r="G3" s="21" t="s">
        <v>105</v>
      </c>
      <c r="H3" s="16" t="s">
        <v>106</v>
      </c>
      <c r="I3" s="20" t="s">
        <v>106</v>
      </c>
      <c r="J3" s="21" t="s">
        <v>106</v>
      </c>
      <c r="K3" s="16" t="s">
        <v>107</v>
      </c>
      <c r="L3" s="20" t="s">
        <v>108</v>
      </c>
      <c r="M3" s="21" t="s">
        <v>108</v>
      </c>
      <c r="N3" s="16" t="s">
        <v>104</v>
      </c>
      <c r="O3" s="20" t="s">
        <v>104</v>
      </c>
      <c r="P3" s="21" t="s">
        <v>104</v>
      </c>
      <c r="Q3" s="20"/>
      <c r="R3" s="20"/>
      <c r="S3" s="85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</row>
    <row r="4" spans="1:35">
      <c r="A4" s="1"/>
      <c r="B4" s="17" t="s">
        <v>111</v>
      </c>
      <c r="C4" s="30" t="s">
        <v>112</v>
      </c>
      <c r="D4" s="23" t="s">
        <v>103</v>
      </c>
      <c r="E4" s="17" t="s">
        <v>111</v>
      </c>
      <c r="F4" s="22" t="s">
        <v>112</v>
      </c>
      <c r="G4" s="23" t="s">
        <v>103</v>
      </c>
      <c r="H4" s="17" t="s">
        <v>111</v>
      </c>
      <c r="I4" s="22" t="s">
        <v>112</v>
      </c>
      <c r="J4" s="23" t="s">
        <v>103</v>
      </c>
      <c r="K4" s="17" t="s">
        <v>111</v>
      </c>
      <c r="L4" s="22" t="s">
        <v>112</v>
      </c>
      <c r="M4" s="23" t="s">
        <v>103</v>
      </c>
      <c r="N4" s="17" t="s">
        <v>111</v>
      </c>
      <c r="O4" s="22" t="s">
        <v>112</v>
      </c>
      <c r="P4" s="23" t="s">
        <v>103</v>
      </c>
      <c r="Q4" s="22" t="s">
        <v>111</v>
      </c>
      <c r="R4" s="22" t="s">
        <v>112</v>
      </c>
      <c r="S4" s="86" t="s">
        <v>103</v>
      </c>
      <c r="U4" s="100">
        <v>33877</v>
      </c>
      <c r="V4" s="100">
        <v>33908</v>
      </c>
      <c r="W4" s="100">
        <v>33938</v>
      </c>
      <c r="X4" s="100">
        <v>33969</v>
      </c>
      <c r="Y4" s="100">
        <v>34000</v>
      </c>
      <c r="Z4" s="100">
        <v>34028</v>
      </c>
      <c r="AA4" s="100">
        <v>34059</v>
      </c>
      <c r="AB4" s="100">
        <v>34089</v>
      </c>
      <c r="AC4" s="100">
        <v>34120</v>
      </c>
      <c r="AD4" s="100">
        <v>34150</v>
      </c>
      <c r="AE4" s="100">
        <v>34181</v>
      </c>
      <c r="AF4" s="100">
        <v>34212</v>
      </c>
      <c r="AG4" s="100">
        <v>34242</v>
      </c>
      <c r="AH4" s="100">
        <v>34273</v>
      </c>
      <c r="AI4" s="100">
        <v>34303</v>
      </c>
    </row>
    <row r="5" spans="1:35">
      <c r="B5" s="8"/>
      <c r="C5" s="31"/>
      <c r="D5" s="10"/>
      <c r="E5" s="8"/>
      <c r="F5" s="9"/>
      <c r="G5" s="10"/>
      <c r="H5" s="8"/>
      <c r="I5" s="9"/>
      <c r="J5" s="10"/>
      <c r="K5" s="8"/>
      <c r="L5" s="9"/>
      <c r="M5" s="10"/>
      <c r="N5" s="8"/>
      <c r="O5" s="9"/>
      <c r="P5" s="10"/>
      <c r="Q5" s="50"/>
      <c r="R5" s="50"/>
      <c r="S5" s="87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</row>
    <row r="6" spans="1:35">
      <c r="A6" s="37" t="s">
        <v>213</v>
      </c>
      <c r="B6" s="26"/>
      <c r="C6" s="31"/>
      <c r="D6" s="38">
        <f>U6+V6+W6</f>
        <v>0</v>
      </c>
      <c r="E6" s="26"/>
      <c r="F6" s="31"/>
      <c r="G6" s="38"/>
      <c r="H6" s="26"/>
      <c r="I6" s="31"/>
      <c r="J6" s="38"/>
      <c r="K6" s="26"/>
      <c r="L6" s="31"/>
      <c r="M6" s="38"/>
      <c r="N6" s="26"/>
      <c r="O6" s="31"/>
      <c r="P6" s="38"/>
      <c r="Q6" s="80"/>
      <c r="R6" s="50"/>
      <c r="S6" s="88"/>
      <c r="U6" s="101"/>
      <c r="V6" s="101"/>
      <c r="W6" s="101">
        <v>0</v>
      </c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</row>
    <row r="7" spans="1:35">
      <c r="A7" s="2"/>
      <c r="B7" s="8"/>
      <c r="C7" s="31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0"/>
      <c r="R7" s="50"/>
      <c r="S7" s="87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</row>
    <row r="8" spans="1:35">
      <c r="A8" s="37" t="s">
        <v>214</v>
      </c>
      <c r="B8" s="26"/>
      <c r="C8" s="31"/>
      <c r="D8" s="38">
        <f>U8+V8+W8</f>
        <v>33715.86</v>
      </c>
      <c r="E8" s="26"/>
      <c r="F8" s="31"/>
      <c r="G8" s="38"/>
      <c r="H8" s="26"/>
      <c r="I8" s="31"/>
      <c r="J8" s="38"/>
      <c r="K8" s="26"/>
      <c r="L8" s="31"/>
      <c r="M8" s="38"/>
      <c r="N8" s="26"/>
      <c r="O8" s="31"/>
      <c r="P8" s="38"/>
      <c r="Q8" s="80"/>
      <c r="R8" s="80"/>
      <c r="S8" s="88"/>
      <c r="U8" s="101">
        <v>15302.99</v>
      </c>
      <c r="V8" s="101">
        <v>13442.42</v>
      </c>
      <c r="W8" s="101">
        <v>4970.45</v>
      </c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</row>
    <row r="9" spans="1:35" ht="14" thickBot="1">
      <c r="A9" s="3"/>
      <c r="B9" s="6"/>
      <c r="C9" s="32"/>
      <c r="D9" s="7"/>
      <c r="E9" s="6"/>
      <c r="F9" s="1"/>
      <c r="G9" s="7"/>
      <c r="H9" s="6"/>
      <c r="I9" s="1"/>
      <c r="J9" s="7"/>
      <c r="K9" s="6"/>
      <c r="L9" s="1"/>
      <c r="M9" s="7"/>
      <c r="N9" s="6"/>
      <c r="O9" s="1"/>
      <c r="P9" s="7"/>
      <c r="Q9" s="54"/>
      <c r="R9" s="56"/>
      <c r="S9" s="8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</row>
    <row r="10" spans="1:35" ht="14" thickBot="1">
      <c r="A10" s="34" t="s">
        <v>117</v>
      </c>
      <c r="B10" s="35"/>
      <c r="C10" s="32"/>
      <c r="D10" s="36">
        <f>D6-D8</f>
        <v>-33715.86</v>
      </c>
      <c r="E10" s="35"/>
      <c r="F10" s="32"/>
      <c r="G10" s="36"/>
      <c r="H10" s="35"/>
      <c r="I10" s="32"/>
      <c r="J10" s="36"/>
      <c r="K10" s="35"/>
      <c r="L10" s="32"/>
      <c r="M10" s="36"/>
      <c r="N10" s="35"/>
      <c r="O10" s="32"/>
      <c r="P10" s="36"/>
      <c r="Q10" s="32"/>
      <c r="R10" s="32"/>
      <c r="S10" s="90"/>
      <c r="U10" s="102">
        <f t="shared" ref="U10:AI10" si="0">U6-U8</f>
        <v>-15302.99</v>
      </c>
      <c r="V10" s="102">
        <f t="shared" si="0"/>
        <v>-13442.42</v>
      </c>
      <c r="W10" s="102">
        <f t="shared" si="0"/>
        <v>-4970.45</v>
      </c>
      <c r="X10" s="102">
        <f t="shared" si="0"/>
        <v>0</v>
      </c>
      <c r="Y10" s="102">
        <f t="shared" si="0"/>
        <v>0</v>
      </c>
      <c r="Z10" s="102">
        <f t="shared" si="0"/>
        <v>0</v>
      </c>
      <c r="AA10" s="102">
        <f t="shared" si="0"/>
        <v>0</v>
      </c>
      <c r="AB10" s="102">
        <f t="shared" si="0"/>
        <v>0</v>
      </c>
      <c r="AC10" s="102">
        <f t="shared" si="0"/>
        <v>0</v>
      </c>
      <c r="AD10" s="102">
        <f t="shared" si="0"/>
        <v>0</v>
      </c>
      <c r="AE10" s="102">
        <f t="shared" si="0"/>
        <v>0</v>
      </c>
      <c r="AF10" s="102">
        <f t="shared" si="0"/>
        <v>0</v>
      </c>
      <c r="AG10" s="102">
        <f t="shared" si="0"/>
        <v>0</v>
      </c>
      <c r="AH10" s="102">
        <f t="shared" si="0"/>
        <v>0</v>
      </c>
      <c r="AI10" s="102">
        <f t="shared" si="0"/>
        <v>0</v>
      </c>
    </row>
    <row r="11" spans="1:35">
      <c r="B11" s="8"/>
      <c r="C11" s="31"/>
      <c r="D11" s="10"/>
      <c r="E11" s="8"/>
      <c r="F11" s="9"/>
      <c r="G11" s="10"/>
      <c r="H11" s="8"/>
      <c r="I11" s="9"/>
      <c r="J11" s="10"/>
      <c r="K11" s="8"/>
      <c r="L11" s="9"/>
      <c r="M11" s="10"/>
      <c r="N11" s="8"/>
      <c r="O11" s="9"/>
      <c r="P11" s="10"/>
      <c r="Q11" s="50"/>
      <c r="R11" s="50"/>
      <c r="S11" s="87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</row>
    <row r="12" spans="1:35">
      <c r="A12" s="4" t="s">
        <v>173</v>
      </c>
      <c r="B12" s="8"/>
      <c r="C12" s="31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1"/>
      <c r="R12" s="50"/>
      <c r="S12" s="87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</row>
    <row r="13" spans="1:35">
      <c r="B13" s="8"/>
      <c r="C13" s="31"/>
      <c r="D13" s="10"/>
      <c r="E13" s="8"/>
      <c r="F13" s="9"/>
      <c r="G13" s="10"/>
      <c r="H13" s="8"/>
      <c r="I13" s="9"/>
      <c r="J13" s="10"/>
      <c r="K13" s="8"/>
      <c r="L13" s="9"/>
      <c r="M13" s="10"/>
      <c r="N13" s="8"/>
      <c r="O13" s="9"/>
      <c r="P13" s="10"/>
      <c r="Q13" s="50"/>
      <c r="R13" s="50"/>
      <c r="S13" s="87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</row>
    <row r="14" spans="1:35">
      <c r="A14" s="73" t="s">
        <v>167</v>
      </c>
      <c r="B14" s="8"/>
      <c r="C14" s="31"/>
      <c r="D14" s="10"/>
      <c r="E14" s="8"/>
      <c r="F14" s="9"/>
      <c r="G14" s="10"/>
      <c r="H14" s="8"/>
      <c r="I14" s="9"/>
      <c r="J14" s="10"/>
      <c r="K14" s="8"/>
      <c r="L14" s="9"/>
      <c r="M14" s="10"/>
      <c r="N14" s="8"/>
      <c r="O14" s="9"/>
      <c r="P14" s="10"/>
      <c r="Q14" s="40"/>
      <c r="R14" s="40"/>
      <c r="S14" s="91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</row>
    <row r="15" spans="1:35">
      <c r="A15" s="2" t="s">
        <v>118</v>
      </c>
      <c r="B15" s="8"/>
      <c r="C15" s="31"/>
      <c r="D15" s="10"/>
      <c r="E15" s="8"/>
      <c r="F15" s="9"/>
      <c r="G15" s="10"/>
      <c r="H15" s="8"/>
      <c r="I15" s="9"/>
      <c r="J15" s="10"/>
      <c r="K15" s="8"/>
      <c r="L15" s="9"/>
      <c r="M15" s="10"/>
      <c r="N15" s="8"/>
      <c r="O15" s="9"/>
      <c r="P15" s="10"/>
      <c r="Q15" s="80"/>
      <c r="R15" s="80"/>
      <c r="S15" s="92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</row>
    <row r="16" spans="1:35">
      <c r="A16" s="2" t="s">
        <v>168</v>
      </c>
      <c r="B16" s="8"/>
      <c r="C16" s="31"/>
      <c r="D16" s="10"/>
      <c r="E16" s="8"/>
      <c r="F16" s="9"/>
      <c r="G16" s="10"/>
      <c r="H16" s="8"/>
      <c r="I16" s="9"/>
      <c r="J16" s="10"/>
      <c r="K16" s="8"/>
      <c r="L16" s="9"/>
      <c r="M16" s="10"/>
      <c r="N16" s="8"/>
      <c r="O16" s="9"/>
      <c r="P16" s="10"/>
      <c r="Q16" s="80"/>
      <c r="R16" s="50"/>
      <c r="S16" s="92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</row>
    <row r="17" spans="1:35">
      <c r="A17" s="2" t="s">
        <v>119</v>
      </c>
      <c r="B17" s="8"/>
      <c r="C17" s="31"/>
      <c r="D17" s="10"/>
      <c r="E17" s="8"/>
      <c r="F17" s="9"/>
      <c r="G17" s="10"/>
      <c r="H17" s="8"/>
      <c r="I17" s="9"/>
      <c r="J17" s="10"/>
      <c r="K17" s="8"/>
      <c r="L17" s="9"/>
      <c r="M17" s="10"/>
      <c r="N17" s="8"/>
      <c r="O17" s="9"/>
      <c r="P17" s="10"/>
      <c r="Q17" s="80"/>
      <c r="R17" s="80"/>
      <c r="S17" s="92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</row>
    <row r="18" spans="1:35">
      <c r="A18" s="2" t="s">
        <v>169</v>
      </c>
      <c r="B18" s="8"/>
      <c r="C18" s="31"/>
      <c r="D18" s="10"/>
      <c r="E18" s="8"/>
      <c r="F18" s="9"/>
      <c r="G18" s="10"/>
      <c r="H18" s="8"/>
      <c r="I18" s="9"/>
      <c r="J18" s="10"/>
      <c r="K18" s="8"/>
      <c r="L18" s="9"/>
      <c r="M18" s="10"/>
      <c r="N18" s="8"/>
      <c r="O18" s="9"/>
      <c r="P18" s="10"/>
      <c r="Q18" s="80"/>
      <c r="R18" s="50"/>
      <c r="S18" s="92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</row>
    <row r="19" spans="1:35">
      <c r="A19" s="3" t="s">
        <v>120</v>
      </c>
      <c r="B19" s="6"/>
      <c r="C19" s="32"/>
      <c r="D19" s="7"/>
      <c r="E19" s="6"/>
      <c r="F19" s="1"/>
      <c r="G19" s="7"/>
      <c r="H19" s="6"/>
      <c r="I19" s="1"/>
      <c r="J19" s="7"/>
      <c r="K19" s="6"/>
      <c r="L19" s="1"/>
      <c r="M19" s="7"/>
      <c r="N19" s="6"/>
      <c r="O19" s="1"/>
      <c r="P19" s="7"/>
      <c r="Q19" s="54"/>
      <c r="R19" s="54"/>
      <c r="S19" s="93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</row>
    <row r="20" spans="1:35">
      <c r="A20" s="34" t="s">
        <v>215</v>
      </c>
      <c r="B20" s="35"/>
      <c r="C20" s="32"/>
      <c r="D20" s="36"/>
      <c r="E20" s="35"/>
      <c r="F20" s="32"/>
      <c r="G20" s="36"/>
      <c r="H20" s="35"/>
      <c r="I20" s="32"/>
      <c r="J20" s="36"/>
      <c r="K20" s="35"/>
      <c r="L20" s="32"/>
      <c r="M20" s="36"/>
      <c r="N20" s="35"/>
      <c r="O20" s="32"/>
      <c r="P20" s="36"/>
      <c r="Q20" s="32"/>
      <c r="R20" s="32"/>
      <c r="S20" s="90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</row>
    <row r="21" spans="1:35">
      <c r="B21" s="8"/>
      <c r="C21" s="31"/>
      <c r="D21" s="10"/>
      <c r="E21" s="8"/>
      <c r="F21" s="9"/>
      <c r="G21" s="10"/>
      <c r="H21" s="8"/>
      <c r="I21" s="9"/>
      <c r="J21" s="10"/>
      <c r="K21" s="8"/>
      <c r="L21" s="9"/>
      <c r="M21" s="10"/>
      <c r="N21" s="8"/>
      <c r="O21" s="9"/>
      <c r="P21" s="10"/>
      <c r="Q21" s="50"/>
      <c r="R21" s="50"/>
      <c r="S21" s="92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</row>
    <row r="22" spans="1:35" ht="14" thickBot="1">
      <c r="A22" s="34" t="s">
        <v>215</v>
      </c>
      <c r="B22" s="35"/>
      <c r="C22" s="32"/>
      <c r="D22" s="36"/>
      <c r="E22" s="35"/>
      <c r="F22" s="32"/>
      <c r="G22" s="36"/>
      <c r="H22" s="35"/>
      <c r="I22" s="32"/>
      <c r="J22" s="36"/>
      <c r="K22" s="35"/>
      <c r="L22" s="32"/>
      <c r="M22" s="36"/>
      <c r="N22" s="35"/>
      <c r="O22" s="32"/>
      <c r="P22" s="36"/>
      <c r="Q22" s="56"/>
      <c r="R22" s="56"/>
      <c r="S22" s="93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</row>
    <row r="23" spans="1:35" ht="14" thickBot="1">
      <c r="A23" t="s">
        <v>176</v>
      </c>
      <c r="B23" s="11">
        <v>0.42</v>
      </c>
      <c r="C23" s="31"/>
      <c r="D23" s="10"/>
      <c r="E23" s="11"/>
      <c r="F23" s="9"/>
      <c r="G23" s="10"/>
      <c r="H23" s="11"/>
      <c r="I23" s="9"/>
      <c r="J23" s="10"/>
      <c r="K23" s="11"/>
      <c r="L23" s="9"/>
      <c r="M23" s="10"/>
      <c r="N23" s="11"/>
      <c r="O23" s="9"/>
      <c r="P23" s="10"/>
      <c r="Q23" s="71"/>
      <c r="R23" s="71"/>
      <c r="S23" s="94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</row>
    <row r="24" spans="1:35" ht="26">
      <c r="A24" s="5" t="s">
        <v>132</v>
      </c>
      <c r="B24" s="8"/>
      <c r="C24" s="31"/>
      <c r="D24" s="10"/>
      <c r="E24" s="8"/>
      <c r="F24" s="9"/>
      <c r="G24" s="10"/>
      <c r="H24" s="8"/>
      <c r="I24" s="9"/>
      <c r="J24" s="10"/>
      <c r="K24" s="8"/>
      <c r="L24" s="9"/>
      <c r="M24" s="10"/>
      <c r="N24" s="8"/>
      <c r="O24" s="9"/>
      <c r="P24" s="10"/>
      <c r="Q24" s="64"/>
      <c r="R24" s="64"/>
      <c r="S24" s="95"/>
    </row>
    <row r="25" spans="1:35">
      <c r="A25" s="5"/>
      <c r="B25" s="8"/>
      <c r="C25" s="31"/>
      <c r="D25" s="10"/>
      <c r="E25" s="8"/>
      <c r="F25" s="9"/>
      <c r="G25" s="10"/>
      <c r="H25" s="8"/>
      <c r="I25" s="9"/>
      <c r="J25" s="10"/>
      <c r="K25" s="8"/>
      <c r="L25" s="9"/>
      <c r="M25" s="10"/>
      <c r="N25" s="8"/>
      <c r="O25" s="9"/>
      <c r="P25" s="10"/>
      <c r="Q25" s="82"/>
      <c r="R25" s="50"/>
      <c r="S25" s="92"/>
    </row>
    <row r="26" spans="1:35" ht="52">
      <c r="A26" s="5" t="s">
        <v>140</v>
      </c>
      <c r="B26" s="8"/>
      <c r="C26" s="31"/>
      <c r="D26" s="10"/>
      <c r="E26" s="8"/>
      <c r="F26" s="9"/>
      <c r="G26" s="10"/>
      <c r="H26" s="8"/>
      <c r="I26" s="9"/>
      <c r="J26" s="10"/>
      <c r="K26" s="8"/>
      <c r="L26" s="9"/>
      <c r="M26" s="10"/>
      <c r="N26" s="8"/>
      <c r="O26" s="9"/>
      <c r="P26" s="10"/>
      <c r="Q26" s="46"/>
      <c r="R26" s="9"/>
      <c r="S26" s="91"/>
    </row>
    <row r="27" spans="1:35">
      <c r="A27" s="5"/>
      <c r="B27" s="8"/>
      <c r="C27" s="31"/>
      <c r="D27" s="10"/>
      <c r="E27" s="8"/>
      <c r="F27" s="9"/>
      <c r="G27" s="10"/>
      <c r="H27" s="8"/>
      <c r="I27" s="9"/>
      <c r="J27" s="10"/>
      <c r="K27" s="8"/>
      <c r="L27" s="9"/>
      <c r="M27" s="10"/>
      <c r="N27" s="8"/>
      <c r="O27" s="9"/>
      <c r="P27" s="10"/>
      <c r="Q27" s="46"/>
      <c r="R27" s="9"/>
      <c r="S27" s="91"/>
    </row>
    <row r="28" spans="1:35" ht="26">
      <c r="A28" s="5" t="s">
        <v>141</v>
      </c>
      <c r="B28" s="8"/>
      <c r="C28" s="31"/>
      <c r="D28" s="10"/>
      <c r="E28" s="8"/>
      <c r="F28" s="9"/>
      <c r="G28" s="10"/>
      <c r="H28" s="8"/>
      <c r="I28" s="9"/>
      <c r="J28" s="10"/>
      <c r="K28" s="8"/>
      <c r="L28" s="9"/>
      <c r="M28" s="10"/>
      <c r="N28" s="8"/>
      <c r="O28" s="9"/>
      <c r="P28" s="10"/>
      <c r="Q28" s="46"/>
      <c r="R28" s="9"/>
      <c r="S28" s="91"/>
    </row>
    <row r="29" spans="1:35">
      <c r="A29" s="5" t="s">
        <v>142</v>
      </c>
      <c r="B29" s="11">
        <v>0.1</v>
      </c>
      <c r="C29" s="31"/>
      <c r="D29" s="10"/>
      <c r="E29" s="11"/>
      <c r="F29" s="9"/>
      <c r="G29" s="10"/>
      <c r="H29" s="11"/>
      <c r="I29" s="9"/>
      <c r="J29" s="10"/>
      <c r="K29" s="11"/>
      <c r="L29" s="9"/>
      <c r="M29" s="10"/>
      <c r="N29" s="11"/>
      <c r="O29" s="9"/>
      <c r="P29" s="10"/>
      <c r="Q29" s="82"/>
      <c r="R29" s="50"/>
      <c r="S29" s="92"/>
    </row>
    <row r="30" spans="1:35">
      <c r="A30" s="5"/>
      <c r="B30" s="8"/>
      <c r="C30" s="31"/>
      <c r="D30" s="10"/>
      <c r="E30" s="8"/>
      <c r="F30" s="9"/>
      <c r="G30" s="10"/>
      <c r="H30" s="8"/>
      <c r="I30" s="9"/>
      <c r="J30" s="10"/>
      <c r="K30" s="8"/>
      <c r="L30" s="9"/>
      <c r="M30" s="10"/>
      <c r="N30" s="8"/>
      <c r="O30" s="9"/>
      <c r="P30" s="10"/>
      <c r="Q30" s="46"/>
      <c r="R30" s="9"/>
      <c r="S30" s="91"/>
    </row>
    <row r="31" spans="1:35" ht="26">
      <c r="A31" s="24" t="s">
        <v>144</v>
      </c>
      <c r="B31" s="6"/>
      <c r="C31" s="32"/>
      <c r="D31" s="7"/>
      <c r="E31" s="6"/>
      <c r="F31" s="1"/>
      <c r="G31" s="7"/>
      <c r="H31" s="6"/>
      <c r="I31" s="1"/>
      <c r="J31" s="7"/>
      <c r="K31" s="6"/>
      <c r="L31" s="1"/>
      <c r="M31" s="7"/>
      <c r="N31" s="6"/>
      <c r="O31" s="1"/>
      <c r="P31" s="7"/>
      <c r="Q31" s="46"/>
      <c r="R31" s="9"/>
      <c r="S31" s="91"/>
    </row>
    <row r="32" spans="1:35">
      <c r="A32" s="5"/>
      <c r="B32" s="8"/>
      <c r="C32" s="31"/>
      <c r="D32" s="10"/>
      <c r="E32" s="8"/>
      <c r="F32" s="9"/>
      <c r="G32" s="10"/>
      <c r="H32" s="8"/>
      <c r="I32" s="9"/>
      <c r="J32" s="10"/>
      <c r="K32" s="8"/>
      <c r="L32" s="9"/>
      <c r="M32" s="10"/>
      <c r="N32" s="8"/>
      <c r="O32" s="9"/>
      <c r="P32" s="10"/>
      <c r="Q32" s="46"/>
      <c r="R32" s="9"/>
      <c r="S32" s="91"/>
    </row>
    <row r="33" spans="1:19">
      <c r="A33" s="25" t="s">
        <v>179</v>
      </c>
      <c r="B33" s="8"/>
      <c r="C33" s="31"/>
      <c r="D33" s="10"/>
      <c r="E33" s="8"/>
      <c r="F33" s="9"/>
      <c r="G33" s="10"/>
      <c r="H33" s="8"/>
      <c r="I33" s="9"/>
      <c r="J33" s="10"/>
      <c r="K33" s="8"/>
      <c r="L33" s="9"/>
      <c r="M33" s="10"/>
      <c r="N33" s="8"/>
      <c r="O33" s="9"/>
      <c r="P33" s="10"/>
      <c r="Q33" s="46"/>
      <c r="R33" s="9"/>
      <c r="S33" s="91"/>
    </row>
    <row r="34" spans="1:19">
      <c r="A34" s="5" t="s">
        <v>156</v>
      </c>
      <c r="B34" s="16"/>
      <c r="C34" s="31"/>
      <c r="D34" s="10"/>
      <c r="E34" s="8"/>
      <c r="F34" s="9"/>
      <c r="G34" s="10"/>
      <c r="H34" s="8"/>
      <c r="I34" s="9"/>
      <c r="J34" s="10"/>
      <c r="K34" s="8"/>
      <c r="L34" s="9"/>
      <c r="M34" s="10"/>
      <c r="N34" s="8"/>
      <c r="O34" s="9"/>
      <c r="P34" s="10"/>
      <c r="Q34" s="46"/>
      <c r="R34" s="9"/>
      <c r="S34" s="91"/>
    </row>
    <row r="35" spans="1:19">
      <c r="A35" s="5" t="s">
        <v>157</v>
      </c>
      <c r="B35" s="16"/>
      <c r="C35" s="31"/>
      <c r="D35" s="10"/>
      <c r="E35" s="8"/>
      <c r="F35" s="9"/>
      <c r="G35" s="10"/>
      <c r="H35" s="8"/>
      <c r="I35" s="9"/>
      <c r="J35" s="10"/>
      <c r="K35" s="8"/>
      <c r="L35" s="9"/>
      <c r="M35" s="10"/>
      <c r="N35" s="8"/>
      <c r="O35" s="9"/>
      <c r="P35" s="10"/>
      <c r="Q35" s="46"/>
      <c r="R35" s="9"/>
      <c r="S35" s="87"/>
    </row>
    <row r="36" spans="1:19">
      <c r="A36" s="5" t="s">
        <v>158</v>
      </c>
      <c r="B36" s="16"/>
      <c r="C36" s="31"/>
      <c r="D36" s="10"/>
      <c r="E36" s="8"/>
      <c r="F36" s="9"/>
      <c r="G36" s="10"/>
      <c r="H36" s="8"/>
      <c r="I36" s="9"/>
      <c r="J36" s="10"/>
      <c r="K36" s="8"/>
      <c r="L36" s="9"/>
      <c r="M36" s="10"/>
      <c r="N36" s="8"/>
      <c r="O36" s="9"/>
      <c r="P36" s="10"/>
      <c r="Q36" s="46"/>
      <c r="R36" s="9"/>
      <c r="S36" s="87"/>
    </row>
    <row r="37" spans="1:19">
      <c r="A37" s="5" t="s">
        <v>180</v>
      </c>
      <c r="B37" s="16"/>
      <c r="C37" s="31"/>
      <c r="D37" s="10"/>
      <c r="E37" s="8"/>
      <c r="F37" s="9"/>
      <c r="G37" s="10"/>
      <c r="H37" s="8"/>
      <c r="I37" s="9"/>
      <c r="J37" s="10"/>
      <c r="K37" s="8"/>
      <c r="L37" s="9"/>
      <c r="M37" s="10"/>
      <c r="N37" s="8"/>
      <c r="O37" s="9"/>
      <c r="P37" s="10"/>
      <c r="Q37" s="46"/>
      <c r="R37" s="9"/>
      <c r="S37" s="87"/>
    </row>
    <row r="38" spans="1:19">
      <c r="A38" t="s">
        <v>160</v>
      </c>
      <c r="B38" s="16"/>
      <c r="C38" s="31"/>
      <c r="D38" s="10"/>
      <c r="E38" s="8"/>
      <c r="F38" s="9"/>
      <c r="G38" s="10"/>
      <c r="H38" s="8"/>
      <c r="I38" s="9"/>
      <c r="J38" s="10"/>
      <c r="K38" s="8"/>
      <c r="L38" s="9"/>
      <c r="M38" s="10"/>
      <c r="N38" s="8"/>
      <c r="O38" s="9"/>
      <c r="P38" s="10"/>
      <c r="Q38" s="46"/>
      <c r="R38" s="9"/>
      <c r="S38" s="87"/>
    </row>
    <row r="39" spans="1:19">
      <c r="A39" t="s">
        <v>161</v>
      </c>
      <c r="B39" s="16"/>
      <c r="C39" s="31"/>
      <c r="D39" s="10"/>
      <c r="E39" s="8"/>
      <c r="F39" s="9"/>
      <c r="G39" s="10"/>
      <c r="H39" s="8"/>
      <c r="I39" s="9"/>
      <c r="J39" s="10"/>
      <c r="K39" s="8"/>
      <c r="L39" s="9"/>
      <c r="M39" s="10"/>
      <c r="N39" s="8"/>
      <c r="O39" s="9"/>
      <c r="P39" s="10"/>
      <c r="Q39" s="46"/>
      <c r="R39" s="9"/>
      <c r="S39" s="87"/>
    </row>
    <row r="40" spans="1:19">
      <c r="A40" t="s">
        <v>162</v>
      </c>
      <c r="B40" s="16"/>
      <c r="C40" s="31"/>
      <c r="D40" s="10"/>
      <c r="E40" s="8"/>
      <c r="F40" s="9"/>
      <c r="G40" s="10"/>
      <c r="H40" s="8"/>
      <c r="I40" s="9"/>
      <c r="J40" s="10"/>
      <c r="K40" s="8"/>
      <c r="L40" s="9"/>
      <c r="M40" s="10"/>
      <c r="N40" s="8"/>
      <c r="O40" s="9"/>
      <c r="P40" s="10"/>
      <c r="Q40" s="83"/>
      <c r="R40" s="1"/>
      <c r="S40" s="89"/>
    </row>
    <row r="41" spans="1:19">
      <c r="A41" t="s">
        <v>163</v>
      </c>
      <c r="B41" s="16"/>
      <c r="C41" s="31"/>
      <c r="D41" s="10"/>
      <c r="E41" s="8"/>
      <c r="F41" s="9"/>
      <c r="G41" s="10"/>
      <c r="H41" s="8"/>
      <c r="I41" s="9"/>
      <c r="J41" s="10"/>
      <c r="K41" s="8"/>
      <c r="L41" s="9"/>
      <c r="M41" s="10"/>
      <c r="N41" s="8"/>
      <c r="O41" s="9"/>
      <c r="P41" s="10"/>
      <c r="Q41" s="46"/>
      <c r="R41" s="9"/>
      <c r="S41" s="87"/>
    </row>
    <row r="42" spans="1:19">
      <c r="A42" t="s">
        <v>87</v>
      </c>
      <c r="B42" s="8"/>
      <c r="C42" s="31"/>
      <c r="D42" s="10"/>
      <c r="E42" s="8"/>
      <c r="F42" s="9"/>
      <c r="G42" s="10"/>
      <c r="H42" s="8"/>
      <c r="I42" s="9"/>
      <c r="J42" s="10"/>
      <c r="K42" s="8"/>
      <c r="L42" s="9"/>
      <c r="M42" s="10"/>
      <c r="N42" s="8"/>
      <c r="O42" s="9"/>
      <c r="P42" s="10"/>
      <c r="Q42" s="82"/>
      <c r="R42" s="50"/>
      <c r="S42" s="92"/>
    </row>
    <row r="43" spans="1:19">
      <c r="A43" t="s">
        <v>181</v>
      </c>
      <c r="B43" s="8"/>
      <c r="C43" s="31"/>
      <c r="D43" s="10"/>
      <c r="E43" s="8"/>
      <c r="F43" s="9"/>
      <c r="G43" s="10"/>
      <c r="H43" s="8"/>
      <c r="I43" s="9"/>
      <c r="J43" s="10"/>
      <c r="K43" s="8"/>
      <c r="L43" s="9"/>
      <c r="M43" s="10"/>
      <c r="N43" s="8"/>
      <c r="O43" s="9"/>
      <c r="P43" s="10"/>
      <c r="Q43" s="1"/>
      <c r="R43" s="1"/>
      <c r="S43" s="89"/>
    </row>
    <row r="44" spans="1:19" ht="14" thickBot="1">
      <c r="B44" s="12"/>
      <c r="C44" s="33"/>
      <c r="D44" s="14"/>
      <c r="E44" s="12"/>
      <c r="F44" s="13"/>
      <c r="G44" s="14"/>
      <c r="H44" s="12"/>
      <c r="I44" s="13"/>
      <c r="J44" s="14"/>
      <c r="K44" s="12"/>
      <c r="L44" s="13"/>
      <c r="M44" s="14"/>
      <c r="N44" s="12"/>
      <c r="O44" s="13"/>
      <c r="P44" s="14"/>
      <c r="Q44" s="9"/>
      <c r="R44" s="9"/>
      <c r="S44" s="87"/>
    </row>
    <row r="45" spans="1:19">
      <c r="Q45" s="24"/>
      <c r="R45" s="1"/>
      <c r="S45" s="89"/>
    </row>
    <row r="46" spans="1:19">
      <c r="Q46" s="50"/>
      <c r="R46" s="50"/>
      <c r="S46" s="92"/>
    </row>
    <row r="47" spans="1:19">
      <c r="Q47" s="1"/>
      <c r="R47" s="56"/>
      <c r="S47" s="93"/>
    </row>
    <row r="48" spans="1:19">
      <c r="Q48" s="50"/>
      <c r="R48" s="50"/>
      <c r="S48" s="92"/>
    </row>
    <row r="49" spans="17:19">
      <c r="Q49" s="1"/>
      <c r="R49" s="1"/>
      <c r="S49" s="89"/>
    </row>
    <row r="50" spans="17:19">
      <c r="Q50" s="9"/>
      <c r="R50" s="9"/>
      <c r="S50" s="87"/>
    </row>
    <row r="51" spans="17:19">
      <c r="Q51" s="9"/>
      <c r="R51" s="9"/>
      <c r="S51" s="87"/>
    </row>
    <row r="52" spans="17:19">
      <c r="Q52" s="9"/>
      <c r="R52" s="9"/>
      <c r="S52" s="87"/>
    </row>
    <row r="53" spans="17:19">
      <c r="Q53" s="9"/>
      <c r="R53" s="9"/>
      <c r="S53" s="87"/>
    </row>
    <row r="54" spans="17:19">
      <c r="Q54" s="9"/>
      <c r="R54" s="9"/>
      <c r="S54" s="87"/>
    </row>
    <row r="55" spans="17:19">
      <c r="Q55" s="9"/>
      <c r="R55" s="9"/>
      <c r="S55" s="87"/>
    </row>
    <row r="56" spans="17:19">
      <c r="Q56" s="9"/>
      <c r="R56" s="9"/>
      <c r="S56" s="87"/>
    </row>
    <row r="57" spans="17:19">
      <c r="Q57" s="9"/>
      <c r="R57" s="9"/>
      <c r="S57" s="87"/>
    </row>
    <row r="58" spans="17:19">
      <c r="Q58" s="9"/>
      <c r="R58" s="9"/>
      <c r="S58" s="87"/>
    </row>
    <row r="59" spans="17:19">
      <c r="Q59" s="9"/>
      <c r="R59" s="9"/>
      <c r="S59" s="87"/>
    </row>
    <row r="60" spans="17:19">
      <c r="Q60" s="9"/>
      <c r="R60" s="9"/>
      <c r="S60" s="87"/>
    </row>
    <row r="61" spans="17:19">
      <c r="Q61" s="9"/>
      <c r="R61" s="9"/>
      <c r="S61" s="87"/>
    </row>
    <row r="62" spans="17:19" ht="14" thickBot="1">
      <c r="Q62" s="13"/>
      <c r="R62" s="13"/>
      <c r="S62" s="96"/>
    </row>
  </sheetData>
  <printOptions gridLines="1" gridLinesSet="0"/>
  <pageMargins left="0.75" right="0.75" top="1" bottom="1" header="0.5" footer="0.5"/>
  <pageSetup paperSize="0" firstPageNumber="30" orientation="portrait" useFirstPageNumber="1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96"/>
  <sheetViews>
    <sheetView showZeros="0" workbookViewId="0">
      <pane xSplit="1" ySplit="4" topLeftCell="E5" activePane="bottomRight" state="frozenSplit"/>
      <selection pane="topRight"/>
      <selection pane="bottomLeft" activeCell="O4" sqref="O4"/>
      <selection pane="bottomRight" activeCell="J1" sqref="J1:J65536"/>
    </sheetView>
  </sheetViews>
  <sheetFormatPr baseColWidth="10" defaultColWidth="11.42578125" defaultRowHeight="13" x14ac:dyDescent="0"/>
  <cols>
    <col min="1" max="1" width="36.42578125" customWidth="1"/>
    <col min="2" max="2" width="9.28515625" customWidth="1"/>
    <col min="3" max="3" width="9.42578125" customWidth="1"/>
    <col min="4" max="4" width="12" customWidth="1"/>
    <col min="5" max="5" width="9.28515625" customWidth="1"/>
    <col min="6" max="6" width="9.42578125" customWidth="1"/>
    <col min="7" max="7" width="9.85546875" customWidth="1"/>
    <col min="8" max="8" width="9.28515625" customWidth="1"/>
    <col min="9" max="9" width="10.85546875" customWidth="1"/>
    <col min="10" max="10" width="7.140625" customWidth="1"/>
    <col min="11" max="11" width="9.28515625" customWidth="1"/>
    <col min="12" max="12" width="10.85546875" customWidth="1"/>
    <col min="13" max="13" width="7.140625" customWidth="1"/>
    <col min="14" max="14" width="9.28515625" customWidth="1"/>
    <col min="15" max="15" width="10.85546875" customWidth="1"/>
    <col min="16" max="16" width="7.140625" customWidth="1"/>
    <col min="17" max="18" width="11.85546875" customWidth="1"/>
    <col min="19" max="19" width="12.140625" customWidth="1"/>
    <col min="21" max="23" width="11.42578125" style="123"/>
  </cols>
  <sheetData>
    <row r="1" spans="1:35" ht="14" thickBot="1">
      <c r="U1" s="220"/>
      <c r="V1" s="220"/>
      <c r="W1" s="220"/>
      <c r="X1" s="97"/>
      <c r="Y1" s="97"/>
      <c r="Z1" s="97"/>
      <c r="AA1" s="97"/>
      <c r="AB1" s="97"/>
      <c r="AC1" s="97"/>
    </row>
    <row r="2" spans="1:35">
      <c r="A2" s="151"/>
      <c r="B2" s="15">
        <v>1996</v>
      </c>
      <c r="C2" s="18">
        <v>1996</v>
      </c>
      <c r="D2" s="19">
        <v>1996</v>
      </c>
      <c r="E2" s="15">
        <v>1997</v>
      </c>
      <c r="F2" s="18">
        <v>1997</v>
      </c>
      <c r="G2" s="19">
        <v>1997</v>
      </c>
      <c r="H2" s="15">
        <v>1997</v>
      </c>
      <c r="I2" s="18">
        <v>1997</v>
      </c>
      <c r="J2" s="19">
        <v>1997</v>
      </c>
      <c r="K2" s="15">
        <v>1997</v>
      </c>
      <c r="L2" s="18">
        <v>1997</v>
      </c>
      <c r="M2" s="19">
        <v>1997</v>
      </c>
      <c r="N2" s="15">
        <v>1997</v>
      </c>
      <c r="O2" s="18">
        <v>1997</v>
      </c>
      <c r="P2" s="19">
        <v>1997</v>
      </c>
      <c r="Q2" s="15">
        <v>1997</v>
      </c>
      <c r="R2" s="18">
        <v>1997</v>
      </c>
      <c r="S2" s="19">
        <v>1997</v>
      </c>
      <c r="U2" s="221" t="s">
        <v>103</v>
      </c>
      <c r="V2" s="221" t="s">
        <v>103</v>
      </c>
      <c r="W2" s="221" t="s">
        <v>103</v>
      </c>
      <c r="X2" s="98" t="s">
        <v>103</v>
      </c>
      <c r="Y2" s="98" t="s">
        <v>103</v>
      </c>
      <c r="Z2" s="98" t="s">
        <v>103</v>
      </c>
      <c r="AA2" s="98" t="s">
        <v>103</v>
      </c>
      <c r="AB2" s="98" t="s">
        <v>103</v>
      </c>
      <c r="AC2" s="98" t="s">
        <v>103</v>
      </c>
      <c r="AD2" s="98" t="s">
        <v>103</v>
      </c>
      <c r="AE2" s="98" t="s">
        <v>103</v>
      </c>
      <c r="AF2" s="98" t="s">
        <v>103</v>
      </c>
      <c r="AG2" s="98"/>
      <c r="AH2" s="98"/>
      <c r="AI2" s="98"/>
    </row>
    <row r="3" spans="1:35">
      <c r="A3" s="152"/>
      <c r="B3" s="16" t="s">
        <v>104</v>
      </c>
      <c r="C3" s="20" t="s">
        <v>104</v>
      </c>
      <c r="D3" s="21" t="s">
        <v>104</v>
      </c>
      <c r="E3" s="16" t="s">
        <v>105</v>
      </c>
      <c r="F3" s="20" t="s">
        <v>105</v>
      </c>
      <c r="G3" s="21" t="s">
        <v>105</v>
      </c>
      <c r="H3" s="16" t="s">
        <v>106</v>
      </c>
      <c r="I3" s="20" t="s">
        <v>106</v>
      </c>
      <c r="J3" s="21" t="s">
        <v>106</v>
      </c>
      <c r="K3" s="16" t="s">
        <v>107</v>
      </c>
      <c r="L3" s="20" t="s">
        <v>108</v>
      </c>
      <c r="M3" s="21" t="s">
        <v>108</v>
      </c>
      <c r="N3" s="16" t="s">
        <v>104</v>
      </c>
      <c r="O3" s="20" t="s">
        <v>104</v>
      </c>
      <c r="P3" s="21" t="s">
        <v>104</v>
      </c>
      <c r="Q3" s="16" t="s">
        <v>109</v>
      </c>
      <c r="R3" s="20" t="s">
        <v>109</v>
      </c>
      <c r="S3" s="21" t="s">
        <v>109</v>
      </c>
      <c r="U3" s="125"/>
      <c r="V3" s="125"/>
      <c r="W3" s="125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</row>
    <row r="4" spans="1:35">
      <c r="A4" s="153"/>
      <c r="B4" s="17" t="s">
        <v>111</v>
      </c>
      <c r="C4" s="22" t="s">
        <v>112</v>
      </c>
      <c r="D4" s="23" t="s">
        <v>103</v>
      </c>
      <c r="E4" s="17" t="s">
        <v>111</v>
      </c>
      <c r="F4" s="22" t="s">
        <v>112</v>
      </c>
      <c r="G4" s="23" t="s">
        <v>103</v>
      </c>
      <c r="H4" s="17" t="s">
        <v>111</v>
      </c>
      <c r="I4" s="22" t="s">
        <v>112</v>
      </c>
      <c r="J4" s="23" t="s">
        <v>103</v>
      </c>
      <c r="K4" s="17" t="s">
        <v>111</v>
      </c>
      <c r="L4" s="22" t="s">
        <v>112</v>
      </c>
      <c r="M4" s="23" t="s">
        <v>103</v>
      </c>
      <c r="N4" s="17" t="s">
        <v>111</v>
      </c>
      <c r="O4" s="22" t="s">
        <v>112</v>
      </c>
      <c r="P4" s="23" t="s">
        <v>103</v>
      </c>
      <c r="Q4" s="17" t="s">
        <v>111</v>
      </c>
      <c r="R4" s="22" t="s">
        <v>112</v>
      </c>
      <c r="S4" s="23" t="s">
        <v>103</v>
      </c>
      <c r="U4" s="222">
        <v>33877</v>
      </c>
      <c r="V4" s="222">
        <v>33908</v>
      </c>
      <c r="W4" s="222">
        <v>33938</v>
      </c>
      <c r="X4" s="100">
        <v>33969</v>
      </c>
      <c r="Y4" s="100">
        <v>34000</v>
      </c>
      <c r="Z4" s="100">
        <v>34028</v>
      </c>
      <c r="AA4" s="100">
        <v>34059</v>
      </c>
      <c r="AB4" s="100">
        <v>34089</v>
      </c>
      <c r="AC4" s="100">
        <v>34120</v>
      </c>
      <c r="AD4" s="100">
        <v>34150</v>
      </c>
      <c r="AE4" s="100">
        <v>34181</v>
      </c>
      <c r="AF4" s="100">
        <v>34212</v>
      </c>
      <c r="AG4" s="100">
        <v>34242</v>
      </c>
      <c r="AH4" s="100">
        <v>34273</v>
      </c>
      <c r="AI4" s="100">
        <v>34303</v>
      </c>
    </row>
    <row r="5" spans="1:35">
      <c r="A5" s="152"/>
      <c r="B5" s="8"/>
      <c r="C5" s="9"/>
      <c r="D5" s="10"/>
      <c r="E5" s="8"/>
      <c r="F5" s="9"/>
      <c r="G5" s="10"/>
      <c r="H5" s="8"/>
      <c r="I5" s="9"/>
      <c r="J5" s="10"/>
      <c r="K5" s="8"/>
      <c r="L5" s="9"/>
      <c r="M5" s="10"/>
      <c r="N5" s="8"/>
      <c r="O5" s="9"/>
      <c r="P5" s="10"/>
      <c r="Q5" s="8"/>
      <c r="R5" s="9"/>
      <c r="S5" s="10"/>
      <c r="U5" s="125"/>
      <c r="V5" s="125"/>
      <c r="W5" s="125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</row>
    <row r="6" spans="1:35">
      <c r="A6" s="154" t="s">
        <v>114</v>
      </c>
      <c r="B6" s="26">
        <f>'Sheet 17'!B6+'sheet 11'!B6+Process!B6+Instruments!B6</f>
        <v>4008915</v>
      </c>
      <c r="C6" s="31">
        <f>'Sheet 17'!C6+'sheet 11'!C6+Process!C6+Instruments!C6</f>
        <v>4364086</v>
      </c>
      <c r="D6" s="38">
        <f>'Sheet 17'!D6+'sheet 11'!D6+Process!D6+Instruments!D6</f>
        <v>3629392.8119999999</v>
      </c>
      <c r="E6" s="26">
        <f>'Sheet 17'!E6+'sheet 11'!E6+Process!E6+Instruments!E6</f>
        <v>3576892</v>
      </c>
      <c r="F6" s="31">
        <f>'Sheet 17'!F6+'sheet 11'!F6+Process!F6+Instruments!F6</f>
        <v>4172958.1929824562</v>
      </c>
      <c r="G6" s="38">
        <f>'Sheet 17'!G6+'sheet 11'!G6+Process!G6+Instruments!G6</f>
        <v>1967080.2800000003</v>
      </c>
      <c r="H6" s="26">
        <f>'Sheet 17'!H6+'sheet 11'!H6+Process!H6+Instruments!H6</f>
        <v>3919399</v>
      </c>
      <c r="I6" s="31">
        <f>'Sheet 17'!I6+'sheet 11'!I6+Process!I6+Instruments!I6</f>
        <v>4463053.1929824557</v>
      </c>
      <c r="J6" s="38">
        <f>'Sheet 17'!J6+'sheet 11'!J6+Process!J6+Instruments!J6</f>
        <v>1444668.01</v>
      </c>
      <c r="K6" s="26">
        <f>'Sheet 17'!K6+'sheet 11'!K6+Process!K6+Instruments!K6</f>
        <v>4030032</v>
      </c>
      <c r="L6" s="31">
        <f>'Sheet 17'!L6+'sheet 11'!L6+Process!L6+Instruments!L6</f>
        <v>4485440.421052631</v>
      </c>
      <c r="M6" s="38">
        <f>'Sheet 17'!M6+'sheet 11'!M6+Process!M6+Instruments!M6</f>
        <v>1705363.3360000001</v>
      </c>
      <c r="N6" s="26">
        <f>'Sheet 17'!N6+'sheet 11'!N6+Process!N6+Instruments!N6</f>
        <v>4098643</v>
      </c>
      <c r="O6" s="31">
        <f>'Sheet 17'!O6+'sheet 11'!O6+Process!O6+Instruments!O6</f>
        <v>4520421.1929824557</v>
      </c>
      <c r="P6" s="38">
        <f>'Sheet 17'!P6+'sheet 11'!P6+Process!P6+Instruments!P6</f>
        <v>1799190.92</v>
      </c>
      <c r="Q6" s="26">
        <f>E6+H6+K6+N6</f>
        <v>15624966</v>
      </c>
      <c r="R6" s="31">
        <f>F6+I6+L6+O6</f>
        <v>17641873</v>
      </c>
      <c r="S6" s="38">
        <f>G6+J6+M6+P6</f>
        <v>6916302.5460000001</v>
      </c>
      <c r="U6" s="183">
        <f>'Sheet 17'!U6+'sheet 11'!U6+Process!U6+Instruments!U6</f>
        <v>1046156.6900000001</v>
      </c>
      <c r="V6" s="183">
        <f>'Sheet 17'!V6+'sheet 11'!V6+Process!V6+Instruments!V6</f>
        <v>1368012.6740000001</v>
      </c>
      <c r="W6" s="183">
        <f>'Sheet 17'!W6+'sheet 11'!W6+Process!W6+Instruments!W6</f>
        <v>1215223.4479999999</v>
      </c>
      <c r="X6" s="26">
        <f>'Sheet 17'!X6+'sheet 11'!X6+Process!X6+Instruments!X6</f>
        <v>1045532.8800000001</v>
      </c>
      <c r="Y6" s="26">
        <f>'Sheet 17'!Y6+'sheet 11'!Y6+Process!Y6+Instruments!Y6</f>
        <v>463105.4</v>
      </c>
      <c r="Z6" s="26">
        <f>'Sheet 17'!Z6+'sheet 11'!Z6+Process!Z6+Instruments!Z6</f>
        <v>458442</v>
      </c>
      <c r="AA6" s="26">
        <f>'Sheet 17'!AA6+'sheet 11'!AA6+Process!AA6+Instruments!AA6</f>
        <v>494666.8</v>
      </c>
      <c r="AB6" s="26">
        <f>'Sheet 17'!AB6+'sheet 11'!AB6+Process!AB6+Instruments!AB6</f>
        <v>400176.01</v>
      </c>
      <c r="AC6" s="26">
        <f>'Sheet 17'!AC6+'sheet 11'!AC6+Process!AC6+Instruments!AC6</f>
        <v>549825.19999999995</v>
      </c>
      <c r="AD6" s="26">
        <f>'Sheet 17'!AD6+'sheet 11'!AD6+Process!AD6+Instruments!AD6</f>
        <v>652593.93599999999</v>
      </c>
      <c r="AE6" s="26">
        <f>'Sheet 17'!AE6+'sheet 11'!AE6+Process!AE6+Instruments!AE6</f>
        <v>441974.75999999995</v>
      </c>
      <c r="AF6" s="26">
        <f>'Sheet 17'!AF6+'sheet 11'!AF6+Process!AF6+Instruments!AF6</f>
        <v>610794.64</v>
      </c>
      <c r="AG6" s="26">
        <f>'Sheet 17'!AG6+'sheet 11'!AG6+Process!AG6+Instruments!AG6</f>
        <v>634012.03</v>
      </c>
      <c r="AH6" s="26">
        <f>'Sheet 17'!AH6+'sheet 11'!AH6+Process!AH6+Instruments!AH6</f>
        <v>588831.93999999994</v>
      </c>
      <c r="AI6" s="26">
        <f>'Sheet 17'!AI6+'sheet 11'!AI6+Process!AI6+Instruments!AI6</f>
        <v>576347</v>
      </c>
    </row>
    <row r="7" spans="1:35">
      <c r="A7" s="155" t="s">
        <v>115</v>
      </c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"/>
      <c r="R7" s="9"/>
      <c r="S7" s="10"/>
      <c r="U7" s="183"/>
      <c r="V7" s="125"/>
      <c r="W7" s="125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</row>
    <row r="8" spans="1:35">
      <c r="A8" s="154" t="s">
        <v>116</v>
      </c>
      <c r="B8" s="26">
        <f>'Sheet 17'!B8+'sheet 11'!B8+Process!B8+Instruments!B8</f>
        <v>3242701.9299999997</v>
      </c>
      <c r="C8" s="31">
        <f>'Sheet 17'!C8+'sheet 11'!C8+Process!C8+Instruments!C8</f>
        <v>3397582</v>
      </c>
      <c r="D8" s="38">
        <f>'Sheet 17'!D8+'sheet 11'!D8+Process!D8+Instruments!D8</f>
        <v>2914661.38</v>
      </c>
      <c r="E8" s="26">
        <f>'Sheet 17'!E8+'sheet 11'!E8+Process!E8+Instruments!E8</f>
        <v>2949625.586544557</v>
      </c>
      <c r="F8" s="31">
        <f>'Sheet 17'!F8+'sheet 11'!F8+Process!F8+Instruments!F8</f>
        <v>3211083.5622445126</v>
      </c>
      <c r="G8" s="38">
        <f>'Sheet 17'!G8+'sheet 11'!G8+Process!G8+Instruments!G8</f>
        <v>1652395</v>
      </c>
      <c r="H8" s="26">
        <f>'Sheet 17'!H8+'sheet 11'!H8+Process!H8+Instruments!H8</f>
        <v>3086459.2637847969</v>
      </c>
      <c r="I8" s="31">
        <f>'Sheet 17'!I8+'sheet 11'!I8+Process!I8+Instruments!I8</f>
        <v>3299668.6922445125</v>
      </c>
      <c r="J8" s="38">
        <f>'Sheet 17'!J8+'sheet 11'!J8+Process!J8+Instruments!J8</f>
        <v>1380429.5</v>
      </c>
      <c r="K8" s="26">
        <f>'Sheet 17'!K8+'sheet 11'!K8+Process!K8+Instruments!K8</f>
        <v>3092150.8253789442</v>
      </c>
      <c r="L8" s="31">
        <f>'Sheet 17'!L8+'sheet 11'!L8+Process!L8+Instruments!L8</f>
        <v>3280140.0695476918</v>
      </c>
      <c r="M8" s="38">
        <f>'Sheet 17'!M8+'sheet 11'!M8+Process!M8+Instruments!M8</f>
        <v>1446692.7140000002</v>
      </c>
      <c r="N8" s="26">
        <f>'Sheet 17'!N8+'sheet 11'!N8+Process!N8+Instruments!N8</f>
        <v>3139416.6074846541</v>
      </c>
      <c r="O8" s="31">
        <f>'Sheet 17'!O8+'sheet 11'!O8+Process!O8+Instruments!O8</f>
        <v>3296904.9422445125</v>
      </c>
      <c r="P8" s="38">
        <f>'Sheet 17'!P8+'sheet 11'!P8+Process!P8+Instruments!P8</f>
        <v>1297858.3200000003</v>
      </c>
      <c r="Q8" s="26">
        <f>E8+H8+K8+N8</f>
        <v>12267652.283192951</v>
      </c>
      <c r="R8" s="31">
        <f>F8+I8+L8+O8</f>
        <v>13087797.26628123</v>
      </c>
      <c r="S8" s="38">
        <f>G8+J8+M8+P8</f>
        <v>5777375.534</v>
      </c>
      <c r="U8" s="183">
        <f>'Sheet 17'!U8+'sheet 11'!U8+Process!U8+Instruments!U8</f>
        <v>917048.99</v>
      </c>
      <c r="V8" s="183">
        <f>'Sheet 17'!V8+'sheet 11'!V8+Process!V8+Instruments!V8</f>
        <v>1029940.69</v>
      </c>
      <c r="W8" s="183">
        <f>'Sheet 17'!W8+'sheet 11'!W8+Process!W8+Instruments!W8</f>
        <v>967671.7</v>
      </c>
      <c r="X8" s="26">
        <f>'Sheet 17'!X8+'sheet 11'!X8+Process!X8+Instruments!X8</f>
        <v>803605.82</v>
      </c>
      <c r="Y8" s="26">
        <f>'Sheet 17'!Y8+'sheet 11'!Y8+Process!Y8+Instruments!Y8</f>
        <v>428631.4</v>
      </c>
      <c r="Z8" s="26">
        <f>'Sheet 17'!Z8+'sheet 11'!Z8+Process!Z8+Instruments!Z8</f>
        <v>420157.78</v>
      </c>
      <c r="AA8" s="26">
        <f>'Sheet 17'!AA8+'sheet 11'!AA8+Process!AA8+Instruments!AA8</f>
        <v>445853</v>
      </c>
      <c r="AB8" s="26">
        <f>'Sheet 17'!AB8+'sheet 11'!AB8+Process!AB8+Instruments!AB8</f>
        <v>414283.94</v>
      </c>
      <c r="AC8" s="26">
        <f>'Sheet 17'!AC8+'sheet 11'!AC8+Process!AC8+Instruments!AC8</f>
        <v>520292.56</v>
      </c>
      <c r="AD8" s="26">
        <f>'Sheet 17'!AD8+'sheet 11'!AD8+Process!AD8+Instruments!AD8</f>
        <v>666146.49399999995</v>
      </c>
      <c r="AE8" s="26">
        <f>'Sheet 17'!AE8+'sheet 11'!AE8+Process!AE8+Instruments!AE8</f>
        <v>335327.03999999998</v>
      </c>
      <c r="AF8" s="26">
        <f>'Sheet 17'!AF8+'sheet 11'!AF8+Process!AF8+Instruments!AF8</f>
        <v>465464.69000000006</v>
      </c>
      <c r="AG8" s="26">
        <f>'Sheet 17'!AG8+'sheet 11'!AG8+Process!AG8+Instruments!AG8</f>
        <v>401071.88</v>
      </c>
      <c r="AH8" s="26">
        <f>'Sheet 17'!AH8+'sheet 11'!AH8+Process!AH8+Instruments!AH8</f>
        <v>417923.77999999997</v>
      </c>
      <c r="AI8" s="26">
        <f>'Sheet 17'!AI8+'sheet 11'!AI8+Process!AI8+Instruments!AI8</f>
        <v>484618.3</v>
      </c>
    </row>
    <row r="9" spans="1:35" ht="14" thickBot="1">
      <c r="A9" s="156"/>
      <c r="B9" s="6"/>
      <c r="C9" s="1"/>
      <c r="D9" s="7"/>
      <c r="E9" s="6"/>
      <c r="F9" s="1"/>
      <c r="G9" s="7"/>
      <c r="H9" s="6"/>
      <c r="I9" s="1"/>
      <c r="J9" s="7"/>
      <c r="K9" s="6"/>
      <c r="L9" s="1"/>
      <c r="M9" s="7"/>
      <c r="N9" s="6"/>
      <c r="O9" s="1"/>
      <c r="P9" s="7"/>
      <c r="Q9" s="6"/>
      <c r="R9" s="1"/>
      <c r="S9" s="7"/>
      <c r="U9" s="125"/>
      <c r="V9" s="125"/>
      <c r="W9" s="125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</row>
    <row r="10" spans="1:35" ht="14" thickBot="1">
      <c r="A10" s="157" t="s">
        <v>117</v>
      </c>
      <c r="B10" s="35">
        <f>B6-B8</f>
        <v>766213.0700000003</v>
      </c>
      <c r="C10" s="32">
        <f t="shared" ref="C10:S10" si="0">C6-C8</f>
        <v>966504</v>
      </c>
      <c r="D10" s="36">
        <f t="shared" si="0"/>
        <v>714731.43200000003</v>
      </c>
      <c r="E10" s="35">
        <f t="shared" si="0"/>
        <v>627266.41345544299</v>
      </c>
      <c r="F10" s="32">
        <f t="shared" si="0"/>
        <v>961874.63073794357</v>
      </c>
      <c r="G10" s="36">
        <f t="shared" si="0"/>
        <v>314685.28000000026</v>
      </c>
      <c r="H10" s="35">
        <f t="shared" si="0"/>
        <v>832939.73621520307</v>
      </c>
      <c r="I10" s="32">
        <f t="shared" si="0"/>
        <v>1163384.5007379432</v>
      </c>
      <c r="J10" s="36">
        <f t="shared" si="0"/>
        <v>64238.510000000009</v>
      </c>
      <c r="K10" s="35">
        <f t="shared" si="0"/>
        <v>937881.17462105583</v>
      </c>
      <c r="L10" s="32">
        <f t="shared" si="0"/>
        <v>1205300.3515049391</v>
      </c>
      <c r="M10" s="36">
        <f t="shared" si="0"/>
        <v>258670.62199999997</v>
      </c>
      <c r="N10" s="35">
        <f t="shared" si="0"/>
        <v>959226.39251534594</v>
      </c>
      <c r="O10" s="32">
        <f t="shared" si="0"/>
        <v>1223516.2507379432</v>
      </c>
      <c r="P10" s="36">
        <f t="shared" si="0"/>
        <v>501332.59999999963</v>
      </c>
      <c r="Q10" s="35">
        <f t="shared" si="0"/>
        <v>3357313.7168070488</v>
      </c>
      <c r="R10" s="32">
        <f t="shared" si="0"/>
        <v>4554075.7337187696</v>
      </c>
      <c r="S10" s="36">
        <f t="shared" si="0"/>
        <v>1138927.0120000001</v>
      </c>
      <c r="U10" s="223">
        <f t="shared" ref="U10:AI10" si="1">U6-U8</f>
        <v>129107.70000000007</v>
      </c>
      <c r="V10" s="223">
        <f t="shared" si="1"/>
        <v>338071.98400000017</v>
      </c>
      <c r="W10" s="223">
        <f t="shared" si="1"/>
        <v>247551.74799999991</v>
      </c>
      <c r="X10" s="102">
        <f t="shared" si="1"/>
        <v>241927.06000000017</v>
      </c>
      <c r="Y10" s="102">
        <f t="shared" si="1"/>
        <v>34474</v>
      </c>
      <c r="Z10" s="102">
        <f t="shared" si="1"/>
        <v>38284.219999999972</v>
      </c>
      <c r="AA10" s="102">
        <f t="shared" si="1"/>
        <v>48813.799999999988</v>
      </c>
      <c r="AB10" s="102">
        <f t="shared" si="1"/>
        <v>-14107.929999999993</v>
      </c>
      <c r="AC10" s="102">
        <f t="shared" si="1"/>
        <v>29532.639999999956</v>
      </c>
      <c r="AD10" s="102">
        <f t="shared" si="1"/>
        <v>-13552.557999999961</v>
      </c>
      <c r="AE10" s="102">
        <f t="shared" si="1"/>
        <v>106647.71999999997</v>
      </c>
      <c r="AF10" s="102">
        <f t="shared" si="1"/>
        <v>145329.94999999995</v>
      </c>
      <c r="AG10" s="102">
        <f t="shared" si="1"/>
        <v>232940.15000000002</v>
      </c>
      <c r="AH10" s="102">
        <f t="shared" si="1"/>
        <v>170908.15999999997</v>
      </c>
      <c r="AI10" s="102">
        <f t="shared" si="1"/>
        <v>91728.700000000012</v>
      </c>
    </row>
    <row r="11" spans="1:35">
      <c r="A11" s="152"/>
      <c r="B11" s="8"/>
      <c r="C11" s="9"/>
      <c r="D11" s="10"/>
      <c r="E11" s="8"/>
      <c r="F11" s="9"/>
      <c r="G11" s="10"/>
      <c r="H11" s="8"/>
      <c r="I11" s="9"/>
      <c r="J11" s="10"/>
      <c r="K11" s="8"/>
      <c r="L11" s="9"/>
      <c r="M11" s="10"/>
      <c r="N11" s="8"/>
      <c r="O11" s="9"/>
      <c r="P11" s="10"/>
      <c r="Q11" s="8"/>
      <c r="R11" s="9"/>
      <c r="S11" s="10"/>
      <c r="U11" s="125"/>
      <c r="V11" s="125"/>
      <c r="W11" s="125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</row>
    <row r="12" spans="1:35">
      <c r="A12" s="158" t="s">
        <v>59</v>
      </c>
      <c r="B12" s="8"/>
      <c r="C12" s="9">
        <f>'Sheet 17'!C12+'sheet 11'!C12+Process!C12+Instruments!C12</f>
        <v>0</v>
      </c>
      <c r="D12" s="10">
        <f>'Sheet 17'!D12+'sheet 11'!D12+Process!D12+Instruments!D12</f>
        <v>0</v>
      </c>
      <c r="E12" s="8">
        <f>'Sheet 17'!E12+'sheet 11'!E12+Process!E12+Instruments!E12</f>
        <v>0</v>
      </c>
      <c r="F12" s="9">
        <f>'Sheet 17'!F12+'sheet 11'!F12+Process!F12+Instruments!F12</f>
        <v>0</v>
      </c>
      <c r="G12" s="10">
        <f>'Sheet 17'!G12+'sheet 11'!G12+Process!G12+Instruments!G12</f>
        <v>0</v>
      </c>
      <c r="H12" s="8">
        <f>'Sheet 17'!H12+'sheet 11'!H12+Process!H12+Instruments!H12</f>
        <v>0</v>
      </c>
      <c r="I12" s="9">
        <f>'Sheet 17'!I12+'sheet 11'!I12+Process!I12+Instruments!I12</f>
        <v>0</v>
      </c>
      <c r="J12" s="10">
        <f>'Sheet 17'!J12+'sheet 11'!J12+Process!J12+Instruments!J12</f>
        <v>0</v>
      </c>
      <c r="K12" s="8">
        <f>'Sheet 17'!K12+'sheet 11'!K12+Process!K12+Instruments!K12</f>
        <v>0</v>
      </c>
      <c r="L12" s="9">
        <f>'Sheet 17'!L12+'sheet 11'!L12+Process!L12+Instruments!L12</f>
        <v>0</v>
      </c>
      <c r="M12" s="10">
        <f>'Sheet 17'!M12+'sheet 11'!M12+Process!M12+Instruments!M12</f>
        <v>0</v>
      </c>
      <c r="N12" s="8">
        <f>'Sheet 17'!N12+'sheet 11'!N12+Process!N12+Instruments!N12</f>
        <v>0</v>
      </c>
      <c r="O12" s="9">
        <f>'Sheet 17'!O12+'sheet 11'!O12+Process!O12+Instruments!O12</f>
        <v>0</v>
      </c>
      <c r="P12" s="10">
        <f>'Sheet 17'!P12+'sheet 11'!P12+Process!P12+Instruments!P12</f>
        <v>0</v>
      </c>
      <c r="Q12" s="8"/>
      <c r="R12" s="9"/>
      <c r="S12" s="10"/>
      <c r="U12" s="125"/>
      <c r="V12" s="125"/>
      <c r="W12" s="125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</row>
    <row r="13" spans="1:35">
      <c r="A13" s="152"/>
      <c r="B13" s="106">
        <f>'Sheet 17'!B13+'sheet 11'!B13+Process!B13+Instruments!B13</f>
        <v>0</v>
      </c>
      <c r="C13" s="108">
        <f>'Sheet 17'!C13+'sheet 11'!C13+Process!C13+Instruments!C13</f>
        <v>0</v>
      </c>
      <c r="D13" s="107">
        <f>'Sheet 17'!D13+'sheet 11'!D13+Process!D13+Instruments!D13</f>
        <v>0</v>
      </c>
      <c r="E13" s="106">
        <f>'Sheet 17'!E13+'sheet 11'!E13+Process!E13+Instruments!E13</f>
        <v>0</v>
      </c>
      <c r="F13" s="108">
        <f>'Sheet 17'!F13+'sheet 11'!F13+Process!F13+Instruments!F13</f>
        <v>0</v>
      </c>
      <c r="G13" s="107">
        <f>'Sheet 17'!G13+'sheet 11'!G13+Process!G13+Instruments!G13</f>
        <v>0</v>
      </c>
      <c r="H13" s="106">
        <f>'Sheet 17'!H13+'sheet 11'!H13+Process!H13+Instruments!H13</f>
        <v>0</v>
      </c>
      <c r="I13" s="108">
        <f>'Sheet 17'!I13+'sheet 11'!I13+Process!I13+Instruments!I13</f>
        <v>0</v>
      </c>
      <c r="J13" s="107">
        <f>'Sheet 17'!J13+'sheet 11'!J13+Process!J13+Instruments!J13</f>
        <v>0</v>
      </c>
      <c r="K13" s="106">
        <f>'Sheet 17'!K13+'sheet 11'!K13+Process!K13+Instruments!K13</f>
        <v>0</v>
      </c>
      <c r="L13" s="108">
        <f>'Sheet 17'!L13+'sheet 11'!L13+Process!L13+Instruments!L13</f>
        <v>0</v>
      </c>
      <c r="M13" s="107">
        <f>'Sheet 17'!M13+'sheet 11'!M13+Process!M13+Instruments!M13</f>
        <v>0</v>
      </c>
      <c r="N13" s="106">
        <f>'Sheet 17'!N13+'sheet 11'!N13+Process!N13+Instruments!N13</f>
        <v>0</v>
      </c>
      <c r="O13" s="108">
        <f>'Sheet 17'!O13+'sheet 11'!O13+Process!O13+Instruments!O13</f>
        <v>0</v>
      </c>
      <c r="P13" s="107">
        <f>'Sheet 17'!P13+'sheet 11'!P13+Process!P13+Instruments!P13</f>
        <v>0</v>
      </c>
      <c r="Q13" s="106">
        <f>E13+H13+K13+N13</f>
        <v>0</v>
      </c>
      <c r="R13" s="108">
        <f>F13+I13+L13+O13</f>
        <v>0</v>
      </c>
      <c r="S13" s="107"/>
      <c r="U13" s="125"/>
      <c r="V13" s="125"/>
      <c r="W13" s="125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</row>
    <row r="14" spans="1:35" s="52" customFormat="1">
      <c r="A14" s="159"/>
      <c r="B14" s="11"/>
      <c r="C14" s="40"/>
      <c r="D14" s="44"/>
      <c r="E14" s="11"/>
      <c r="F14" s="40"/>
      <c r="G14" s="44"/>
      <c r="H14" s="11"/>
      <c r="I14" s="40"/>
      <c r="J14" s="44"/>
      <c r="K14" s="11"/>
      <c r="L14" s="40"/>
      <c r="M14" s="44"/>
      <c r="N14" s="11"/>
      <c r="O14" s="40"/>
      <c r="P14" s="44"/>
      <c r="Q14" s="11"/>
      <c r="R14" s="40"/>
      <c r="S14" s="44"/>
      <c r="U14" s="125"/>
      <c r="V14" s="125"/>
      <c r="W14" s="125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</row>
    <row r="15" spans="1:35" s="48" customFormat="1">
      <c r="A15" s="160" t="s">
        <v>118</v>
      </c>
      <c r="B15" s="49">
        <f>'Sheet 17'!B15+'sheet 11'!B15+Process!B15+Instruments!B15</f>
        <v>215144</v>
      </c>
      <c r="C15" s="50">
        <f>'Sheet 17'!C15+'sheet 11'!C15+Process!C15+Instruments!C15</f>
        <v>215144</v>
      </c>
      <c r="D15" s="51">
        <f>'Sheet 17'!D15+'sheet 11'!D15+Process!D15+Instruments!D15</f>
        <v>212686</v>
      </c>
      <c r="E15" s="49">
        <f>'Sheet 17'!E15+'sheet 11'!E15+Process!E15+Instruments!E15</f>
        <v>215144</v>
      </c>
      <c r="F15" s="50">
        <f>'Sheet 17'!F15+'sheet 11'!F15+Process!F15+Instruments!F15</f>
        <v>215144</v>
      </c>
      <c r="G15" s="51">
        <f>'Sheet 17'!G15+'sheet 11'!G15+Process!G15+Instruments!G15</f>
        <v>67697.63</v>
      </c>
      <c r="H15" s="49">
        <f>'Sheet 17'!H15+'sheet 11'!H15+Process!H15+Instruments!H15</f>
        <v>87296.63</v>
      </c>
      <c r="I15" s="50">
        <f>'Sheet 17'!I15+'sheet 11'!I15+Process!I15+Instruments!I15</f>
        <v>87296.63</v>
      </c>
      <c r="J15" s="51">
        <f>'Sheet 17'!J15+'sheet 11'!J15+Process!J15+Instruments!J15</f>
        <v>49490.260300000002</v>
      </c>
      <c r="K15" s="49">
        <f>'Sheet 17'!K15+'sheet 11'!K15+Process!K15+Instruments!K15</f>
        <v>87296.63</v>
      </c>
      <c r="L15" s="50">
        <f>'Sheet 17'!L15+'sheet 11'!L15+Process!L15+Instruments!L15</f>
        <v>87296.63</v>
      </c>
      <c r="M15" s="51">
        <f>'Sheet 17'!M15+'sheet 11'!M15+Process!M15+Instruments!M15</f>
        <v>2500.63</v>
      </c>
      <c r="N15" s="49">
        <f>'Sheet 17'!N15+'sheet 11'!N15+Process!N15+Instruments!N15</f>
        <v>90596.63</v>
      </c>
      <c r="O15" s="50">
        <f>'Sheet 17'!O15+'sheet 11'!O15+Process!O15+Instruments!O15</f>
        <v>90596.63</v>
      </c>
      <c r="P15" s="51">
        <f>'Sheet 17'!P15+'sheet 11'!P15+Process!P15+Instruments!P15</f>
        <v>2500.63</v>
      </c>
      <c r="Q15" s="49">
        <f>E15+H15+K15+N15</f>
        <v>480333.89</v>
      </c>
      <c r="R15" s="50">
        <f>F15+I15+L15+O15</f>
        <v>480333.89</v>
      </c>
      <c r="S15" s="51">
        <f>G15+J15+M15+P15</f>
        <v>122189.15030000001</v>
      </c>
      <c r="U15" s="118">
        <f t="array" ref="U15:AI15">Finance!$U$15:$AI$15</f>
        <v>137835</v>
      </c>
      <c r="V15" s="118">
        <v>71021</v>
      </c>
      <c r="W15" s="118">
        <v>14065.58</v>
      </c>
      <c r="X15" s="49">
        <v>71453.23</v>
      </c>
      <c r="Y15" s="49">
        <v>62885.700000000004</v>
      </c>
      <c r="Z15" s="49">
        <v>57415.689999999995</v>
      </c>
      <c r="AA15" s="49">
        <v>37960.61</v>
      </c>
      <c r="AB15" s="49">
        <v>39203.089999999997</v>
      </c>
      <c r="AC15" s="49">
        <v>71207.25</v>
      </c>
      <c r="AD15" s="49">
        <v>56803.05</v>
      </c>
      <c r="AE15" s="49">
        <v>83210.960000000006</v>
      </c>
      <c r="AF15" s="49">
        <v>70136.41</v>
      </c>
      <c r="AG15" s="49">
        <v>106722.12999999999</v>
      </c>
      <c r="AH15" s="49">
        <v>72711.38</v>
      </c>
      <c r="AI15" s="49">
        <v>66477.91</v>
      </c>
    </row>
    <row r="16" spans="1:35" s="48" customFormat="1">
      <c r="A16" s="160"/>
      <c r="B16" s="49"/>
      <c r="C16" s="50"/>
      <c r="D16" s="51"/>
      <c r="E16" s="49"/>
      <c r="F16" s="50"/>
      <c r="G16" s="51"/>
      <c r="H16" s="49"/>
      <c r="I16" s="50"/>
      <c r="J16" s="51"/>
      <c r="K16" s="49"/>
      <c r="L16" s="50"/>
      <c r="M16" s="51"/>
      <c r="N16" s="49"/>
      <c r="O16" s="50"/>
      <c r="P16" s="51"/>
      <c r="Q16" s="49"/>
      <c r="R16" s="50"/>
      <c r="S16" s="51"/>
      <c r="U16" s="124"/>
      <c r="V16" s="124"/>
      <c r="W16" s="124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</row>
    <row r="17" spans="1:35" s="48" customFormat="1">
      <c r="A17" s="160" t="s">
        <v>119</v>
      </c>
      <c r="B17" s="49">
        <f>'Sheet 17'!B17+'sheet 11'!B17+Process!B17+Instruments!B17</f>
        <v>83611</v>
      </c>
      <c r="C17" s="50">
        <f>'Sheet 17'!C17+'sheet 11'!C17+Process!C17+Instruments!C17</f>
        <v>83611</v>
      </c>
      <c r="D17" s="51">
        <f>'Sheet 17'!D17+'sheet 11'!D17+Process!D17+Instruments!D17</f>
        <v>73264</v>
      </c>
      <c r="E17" s="49">
        <f>'Sheet 17'!E17+'sheet 11'!E17+Process!E17+Instruments!E17</f>
        <v>83611</v>
      </c>
      <c r="F17" s="50">
        <f>'Sheet 17'!F17+'sheet 11'!F17+Process!F17+Instruments!F17</f>
        <v>83611</v>
      </c>
      <c r="G17" s="51">
        <f>'Sheet 17'!G17+'sheet 11'!G17+Process!G17+Instruments!G17</f>
        <v>23531.63</v>
      </c>
      <c r="H17" s="49">
        <f>'Sheet 17'!H17+'sheet 11'!H17+Process!H17+Instruments!H17</f>
        <v>29300.63</v>
      </c>
      <c r="I17" s="50">
        <f>'Sheet 17'!I17+'sheet 11'!I17+Process!I17+Instruments!I17</f>
        <v>29300.63</v>
      </c>
      <c r="J17" s="51">
        <f>'Sheet 17'!J17+'sheet 11'!J17+Process!J17+Instruments!J17</f>
        <v>23269.996000000003</v>
      </c>
      <c r="K17" s="49">
        <f>'Sheet 17'!K17+'sheet 11'!K17+Process!K17+Instruments!K17</f>
        <v>29300.63</v>
      </c>
      <c r="L17" s="50">
        <f>'Sheet 17'!L17+'sheet 11'!L17+Process!L17+Instruments!L17</f>
        <v>29300.63</v>
      </c>
      <c r="M17" s="51">
        <f>'Sheet 17'!M17+'sheet 11'!M17+Process!M17+Instruments!M17</f>
        <v>1200.6300000000001</v>
      </c>
      <c r="N17" s="49">
        <f>'Sheet 17'!N17+'sheet 11'!N17+Process!N17+Instruments!N17</f>
        <v>29300.63</v>
      </c>
      <c r="O17" s="50">
        <f>'Sheet 17'!O17+'sheet 11'!O17+Process!O17+Instruments!O17</f>
        <v>29300.63</v>
      </c>
      <c r="P17" s="51">
        <f>'Sheet 17'!P17+'sheet 11'!P17+Process!P17+Instruments!P17</f>
        <v>1200.6300000000001</v>
      </c>
      <c r="Q17" s="49">
        <f>E17+H17+K17+N17</f>
        <v>171512.89</v>
      </c>
      <c r="R17" s="50">
        <f>F17+I17+L17+O17</f>
        <v>171512.89</v>
      </c>
      <c r="S17" s="51">
        <f>G17+J17+M17+P17</f>
        <v>49202.885999999999</v>
      </c>
      <c r="U17" s="124">
        <f t="array" ref="U17:AI17">Information!$U$17:$AI$17</f>
        <v>25274.1</v>
      </c>
      <c r="V17" s="124">
        <v>24856.75</v>
      </c>
      <c r="W17" s="124">
        <v>17613.93</v>
      </c>
      <c r="X17" s="140">
        <v>24208.959999999999</v>
      </c>
      <c r="Y17" s="140">
        <v>19917</v>
      </c>
      <c r="Z17" s="140">
        <v>21553</v>
      </c>
      <c r="AA17" s="140">
        <v>23243</v>
      </c>
      <c r="AB17" s="140">
        <v>23794.92</v>
      </c>
      <c r="AC17" s="140">
        <v>25014</v>
      </c>
      <c r="AD17" s="140">
        <v>24613.67</v>
      </c>
      <c r="AE17" s="140">
        <v>26302</v>
      </c>
      <c r="AF17" s="140">
        <v>24929.13</v>
      </c>
      <c r="AG17" s="140">
        <v>26909.46</v>
      </c>
      <c r="AH17" s="140">
        <v>28285.09</v>
      </c>
      <c r="AI17" s="140">
        <v>14820.44</v>
      </c>
    </row>
    <row r="18" spans="1:35" s="48" customFormat="1">
      <c r="A18" s="160"/>
      <c r="B18" s="49"/>
      <c r="C18" s="50"/>
      <c r="D18" s="51"/>
      <c r="E18" s="49"/>
      <c r="F18" s="50"/>
      <c r="G18" s="51"/>
      <c r="H18" s="49"/>
      <c r="I18" s="50"/>
      <c r="J18" s="51"/>
      <c r="K18" s="49"/>
      <c r="L18" s="50"/>
      <c r="M18" s="51"/>
      <c r="N18" s="49"/>
      <c r="O18" s="50"/>
      <c r="P18" s="51"/>
      <c r="Q18" s="49"/>
      <c r="R18" s="50"/>
      <c r="S18" s="51"/>
      <c r="U18" s="124"/>
      <c r="V18" s="124"/>
      <c r="W18" s="124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</row>
    <row r="19" spans="1:35" s="48" customFormat="1">
      <c r="A19" s="161" t="s">
        <v>120</v>
      </c>
      <c r="B19" s="49">
        <f>'Sheet 17'!B19+'sheet 11'!B19+Process!B19+Instruments!B19</f>
        <v>58200</v>
      </c>
      <c r="C19" s="50">
        <f>'Sheet 17'!C19+'sheet 11'!C19+Process!C19+Instruments!C19</f>
        <v>58200</v>
      </c>
      <c r="D19" s="51">
        <f>'Sheet 17'!D19+'sheet 11'!D19+Process!D19+Instruments!D19</f>
        <v>76562</v>
      </c>
      <c r="E19" s="49">
        <f>'Sheet 17'!E19+'sheet 11'!E19+Process!E19+Instruments!E19</f>
        <v>58200</v>
      </c>
      <c r="F19" s="50">
        <f>'Sheet 17'!F19+'sheet 11'!F19+Process!F19+Instruments!F19</f>
        <v>58200</v>
      </c>
      <c r="G19" s="51">
        <f>'Sheet 17'!G19+'sheet 11'!G19+Process!G19+Instruments!G19</f>
        <v>17635</v>
      </c>
      <c r="H19" s="49">
        <f>'Sheet 17'!H19+'sheet 11'!H19+Process!H19+Instruments!H19</f>
        <v>20400.63</v>
      </c>
      <c r="I19" s="50">
        <f>'Sheet 17'!I19+'sheet 11'!I19+Process!I19+Instruments!I19</f>
        <v>20400.63</v>
      </c>
      <c r="J19" s="51" t="e">
        <f>'Sheet 17'!J19+'sheet 11'!J19+Process!J19+Instruments!J19</f>
        <v>#REF!</v>
      </c>
      <c r="K19" s="49">
        <f>'Sheet 17'!K19+'sheet 11'!K19+Process!K19+Instruments!K19</f>
        <v>20400.63</v>
      </c>
      <c r="L19" s="50">
        <f>'Sheet 17'!L19+'sheet 11'!L19+Process!L19+Instruments!L19</f>
        <v>20400.63</v>
      </c>
      <c r="M19" s="51" t="e">
        <f>'Sheet 17'!M19+'sheet 11'!M19+Process!M19+Instruments!M19</f>
        <v>#REF!</v>
      </c>
      <c r="N19" s="49">
        <f>'Sheet 17'!N19+'sheet 11'!N19+Process!N19+Instruments!N19</f>
        <v>20400.63</v>
      </c>
      <c r="O19" s="50">
        <f>'Sheet 17'!O19+'sheet 11'!O19+Process!O19+Instruments!O19</f>
        <v>20400.63</v>
      </c>
      <c r="P19" s="51">
        <f>'Sheet 17'!P19+'sheet 11'!P19+Process!P19+Instruments!P19</f>
        <v>1000.63</v>
      </c>
      <c r="Q19" s="55">
        <f>E19+H19+K19+N19</f>
        <v>119401.89000000001</v>
      </c>
      <c r="R19" s="56">
        <f>F19+I19+L19+O19</f>
        <v>119401.89000000001</v>
      </c>
      <c r="S19" s="57" t="e">
        <f>G19+J19+M19+P19</f>
        <v>#REF!</v>
      </c>
      <c r="U19" s="124">
        <f t="array" ref="U19:AI19">Admin!$U$19:$AI$19</f>
        <v>32941.279999999999</v>
      </c>
      <c r="V19" s="124">
        <v>30458.74</v>
      </c>
      <c r="W19" s="124">
        <v>24054.799999999999</v>
      </c>
      <c r="X19" s="140">
        <v>15176.57</v>
      </c>
      <c r="Y19" s="140">
        <v>27736.38</v>
      </c>
      <c r="Z19" s="140">
        <v>4811.03</v>
      </c>
      <c r="AA19" s="140">
        <v>18230.259999999998</v>
      </c>
      <c r="AB19" s="140">
        <v>16239.69</v>
      </c>
      <c r="AC19" s="140">
        <v>10908.7</v>
      </c>
      <c r="AD19" s="140">
        <v>5645.34</v>
      </c>
      <c r="AE19" s="140">
        <v>7493.83</v>
      </c>
      <c r="AF19" s="140">
        <v>6547.03</v>
      </c>
      <c r="AG19" s="140">
        <v>15916.759999999998</v>
      </c>
      <c r="AH19" s="140">
        <v>9597</v>
      </c>
      <c r="AI19" s="140">
        <v>15492</v>
      </c>
    </row>
    <row r="20" spans="1:35" s="209" customFormat="1">
      <c r="A20" s="205" t="s">
        <v>121</v>
      </c>
      <c r="B20" s="206">
        <f>B19+B17+B15</f>
        <v>356955</v>
      </c>
      <c r="C20" s="207">
        <f t="shared" ref="C20:V20" si="2">C19+C17+C15</f>
        <v>356955</v>
      </c>
      <c r="D20" s="208">
        <f t="shared" si="2"/>
        <v>362512</v>
      </c>
      <c r="E20" s="206">
        <f t="shared" si="2"/>
        <v>356955</v>
      </c>
      <c r="F20" s="207">
        <f t="shared" si="2"/>
        <v>356955</v>
      </c>
      <c r="G20" s="208">
        <f t="shared" si="2"/>
        <v>108864.26000000001</v>
      </c>
      <c r="H20" s="206">
        <f t="shared" si="2"/>
        <v>136997.89000000001</v>
      </c>
      <c r="I20" s="207">
        <f t="shared" si="2"/>
        <v>136997.89000000001</v>
      </c>
      <c r="J20" s="208" t="e">
        <f t="shared" si="2"/>
        <v>#REF!</v>
      </c>
      <c r="K20" s="206">
        <f t="shared" si="2"/>
        <v>136997.89000000001</v>
      </c>
      <c r="L20" s="207">
        <f t="shared" si="2"/>
        <v>136997.89000000001</v>
      </c>
      <c r="M20" s="208" t="e">
        <f t="shared" si="2"/>
        <v>#REF!</v>
      </c>
      <c r="N20" s="206">
        <f t="shared" si="2"/>
        <v>140297.89000000001</v>
      </c>
      <c r="O20" s="207">
        <f t="shared" si="2"/>
        <v>140297.89000000001</v>
      </c>
      <c r="P20" s="208">
        <f t="shared" si="2"/>
        <v>4701.8900000000003</v>
      </c>
      <c r="Q20" s="206">
        <f t="shared" si="2"/>
        <v>771248.67</v>
      </c>
      <c r="R20" s="207">
        <f t="shared" si="2"/>
        <v>771248.67</v>
      </c>
      <c r="S20" s="208" t="e">
        <f t="shared" si="2"/>
        <v>#REF!</v>
      </c>
      <c r="U20" s="224">
        <f t="shared" si="2"/>
        <v>196050.38</v>
      </c>
      <c r="V20" s="224">
        <f t="shared" si="2"/>
        <v>126336.49</v>
      </c>
      <c r="W20" s="224">
        <f t="shared" ref="W20:AI20" si="3">W19+W17+W15</f>
        <v>55734.31</v>
      </c>
      <c r="X20" s="210">
        <f t="shared" si="3"/>
        <v>110838.76</v>
      </c>
      <c r="Y20" s="210">
        <f t="shared" si="3"/>
        <v>110539.08000000002</v>
      </c>
      <c r="Z20" s="210">
        <f t="shared" si="3"/>
        <v>83779.72</v>
      </c>
      <c r="AA20" s="210">
        <f t="shared" si="3"/>
        <v>79433.87</v>
      </c>
      <c r="AB20" s="210">
        <f t="shared" si="3"/>
        <v>79237.7</v>
      </c>
      <c r="AC20" s="210">
        <f t="shared" si="3"/>
        <v>107129.95</v>
      </c>
      <c r="AD20" s="210">
        <f t="shared" si="3"/>
        <v>87062.06</v>
      </c>
      <c r="AE20" s="210">
        <f t="shared" si="3"/>
        <v>117006.79000000001</v>
      </c>
      <c r="AF20" s="210">
        <f t="shared" si="3"/>
        <v>101612.57</v>
      </c>
      <c r="AG20" s="210">
        <f t="shared" si="3"/>
        <v>149548.34999999998</v>
      </c>
      <c r="AH20" s="210">
        <f t="shared" si="3"/>
        <v>110593.47</v>
      </c>
      <c r="AI20" s="210">
        <f t="shared" si="3"/>
        <v>96790.35</v>
      </c>
    </row>
    <row r="21" spans="1:35" s="149" customFormat="1">
      <c r="A21" s="162" t="s">
        <v>124</v>
      </c>
      <c r="B21" s="146"/>
      <c r="C21" s="147"/>
      <c r="D21" s="148">
        <f>D50</f>
        <v>-15609.179999999993</v>
      </c>
      <c r="E21" s="146"/>
      <c r="F21" s="147"/>
      <c r="G21" s="148">
        <f>G50</f>
        <v>-196293.3</v>
      </c>
      <c r="H21" s="146"/>
      <c r="I21" s="147"/>
      <c r="J21" s="148"/>
      <c r="K21" s="146"/>
      <c r="L21" s="147"/>
      <c r="M21" s="148"/>
      <c r="N21" s="146"/>
      <c r="O21" s="147"/>
      <c r="P21" s="148"/>
      <c r="Q21" s="146"/>
      <c r="R21" s="147"/>
      <c r="S21" s="148"/>
      <c r="U21" s="225">
        <f>U50</f>
        <v>-147384.386</v>
      </c>
      <c r="V21" s="225">
        <f>V50</f>
        <v>1.2516542499509082E+39</v>
      </c>
      <c r="W21" s="225">
        <f>W50</f>
        <v>-39014.016999999993</v>
      </c>
      <c r="X21" s="150">
        <f>X50</f>
        <v>941339.67800000007</v>
      </c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</row>
    <row r="22" spans="1:35" s="56" customFormat="1" ht="14" thickBot="1">
      <c r="A22" s="157" t="s">
        <v>194</v>
      </c>
      <c r="B22" s="55">
        <f>B10-B20</f>
        <v>409258.0700000003</v>
      </c>
      <c r="C22" s="56">
        <f t="shared" ref="C22:V22" si="4">C10-C20</f>
        <v>609549</v>
      </c>
      <c r="D22" s="57">
        <f>D10-D20+D21</f>
        <v>336610.25200000004</v>
      </c>
      <c r="E22" s="55">
        <f t="shared" si="4"/>
        <v>270311.41345544299</v>
      </c>
      <c r="F22" s="56">
        <f t="shared" si="4"/>
        <v>604919.63073794357</v>
      </c>
      <c r="G22" s="57">
        <f t="shared" si="4"/>
        <v>205821.02000000025</v>
      </c>
      <c r="H22" s="55">
        <f t="shared" si="4"/>
        <v>695941.84621520306</v>
      </c>
      <c r="I22" s="56">
        <f t="shared" si="4"/>
        <v>1026386.6107379432</v>
      </c>
      <c r="J22" s="57" t="e">
        <f t="shared" si="4"/>
        <v>#REF!</v>
      </c>
      <c r="K22" s="55">
        <f t="shared" si="4"/>
        <v>800883.28462105582</v>
      </c>
      <c r="L22" s="56">
        <f t="shared" si="4"/>
        <v>1068302.461504939</v>
      </c>
      <c r="M22" s="57" t="e">
        <f t="shared" si="4"/>
        <v>#REF!</v>
      </c>
      <c r="N22" s="55">
        <f t="shared" si="4"/>
        <v>818928.50251534593</v>
      </c>
      <c r="O22" s="56">
        <f t="shared" si="4"/>
        <v>1083218.3607379431</v>
      </c>
      <c r="P22" s="57">
        <f t="shared" si="4"/>
        <v>496630.70999999961</v>
      </c>
      <c r="Q22" s="55">
        <f t="shared" si="4"/>
        <v>2586065.0468070488</v>
      </c>
      <c r="R22" s="56">
        <f t="shared" si="4"/>
        <v>3782827.0637187697</v>
      </c>
      <c r="S22" s="57" t="e">
        <f t="shared" si="4"/>
        <v>#REF!</v>
      </c>
      <c r="U22" s="226">
        <f t="shared" si="4"/>
        <v>-66942.679999999935</v>
      </c>
      <c r="V22" s="226">
        <f t="shared" si="4"/>
        <v>211735.49400000018</v>
      </c>
      <c r="W22" s="226">
        <f t="shared" ref="W22:AI22" si="5">W10-W20</f>
        <v>191817.43799999991</v>
      </c>
      <c r="X22" s="141">
        <f t="shared" si="5"/>
        <v>131088.30000000016</v>
      </c>
      <c r="Y22" s="141">
        <f t="shared" si="5"/>
        <v>-76065.080000000016</v>
      </c>
      <c r="Z22" s="141">
        <f t="shared" si="5"/>
        <v>-45495.500000000029</v>
      </c>
      <c r="AA22" s="141">
        <f t="shared" si="5"/>
        <v>-30620.070000000007</v>
      </c>
      <c r="AB22" s="141">
        <f t="shared" si="5"/>
        <v>-93345.62999999999</v>
      </c>
      <c r="AC22" s="141">
        <f t="shared" si="5"/>
        <v>-77597.310000000041</v>
      </c>
      <c r="AD22" s="141">
        <f t="shared" si="5"/>
        <v>-100614.61799999996</v>
      </c>
      <c r="AE22" s="141">
        <f t="shared" si="5"/>
        <v>-10359.070000000036</v>
      </c>
      <c r="AF22" s="141">
        <f t="shared" si="5"/>
        <v>43717.379999999946</v>
      </c>
      <c r="AG22" s="141">
        <f t="shared" si="5"/>
        <v>83391.800000000047</v>
      </c>
      <c r="AH22" s="141">
        <f t="shared" si="5"/>
        <v>60314.689999999973</v>
      </c>
      <c r="AI22" s="141">
        <f t="shared" si="5"/>
        <v>-5061.6499999999942</v>
      </c>
    </row>
    <row r="23" spans="1:35" s="69" customFormat="1" ht="14" thickBot="1">
      <c r="A23" s="163" t="s">
        <v>123</v>
      </c>
      <c r="B23" s="68">
        <f t="array" ref="B23:AI23">'90'!$B$23:$AI$23</f>
        <v>295000</v>
      </c>
      <c r="C23" s="69">
        <v>280000</v>
      </c>
      <c r="D23" s="70">
        <v>302757.06</v>
      </c>
      <c r="E23" s="68">
        <v>160000</v>
      </c>
      <c r="F23" s="69">
        <v>140000</v>
      </c>
      <c r="G23" s="70">
        <v>164369.04</v>
      </c>
      <c r="H23" s="68">
        <v>150000</v>
      </c>
      <c r="I23" s="69">
        <v>130000</v>
      </c>
      <c r="J23" s="70">
        <v>194784.75999999998</v>
      </c>
      <c r="K23" s="68">
        <v>140000</v>
      </c>
      <c r="L23" s="69">
        <v>120000</v>
      </c>
      <c r="M23" s="70">
        <v>171364.32</v>
      </c>
      <c r="N23" s="68">
        <v>140000</v>
      </c>
      <c r="O23" s="69">
        <v>110000</v>
      </c>
      <c r="P23" s="70">
        <v>180137.26</v>
      </c>
      <c r="Q23" s="68">
        <v>590000</v>
      </c>
      <c r="R23" s="69">
        <v>500000</v>
      </c>
      <c r="S23" s="70">
        <v>710655.38</v>
      </c>
      <c r="T23" s="69">
        <v>0</v>
      </c>
      <c r="U23" s="139">
        <v>224039.52</v>
      </c>
      <c r="V23" s="139">
        <v>41607.11</v>
      </c>
      <c r="W23" s="139">
        <v>37110.43</v>
      </c>
      <c r="X23" s="105">
        <v>53983.68</v>
      </c>
      <c r="Y23" s="105">
        <v>53983.68</v>
      </c>
      <c r="Z23" s="105">
        <v>56401.68</v>
      </c>
      <c r="AA23" s="105">
        <v>81899.149999999994</v>
      </c>
      <c r="AB23" s="105">
        <v>57450.68</v>
      </c>
      <c r="AC23" s="105">
        <v>55434.93</v>
      </c>
      <c r="AD23" s="105">
        <v>60653.8</v>
      </c>
      <c r="AE23" s="105">
        <v>55489.67</v>
      </c>
      <c r="AF23" s="105">
        <v>55220.85</v>
      </c>
      <c r="AG23" s="105">
        <v>55702.79</v>
      </c>
      <c r="AH23" s="105">
        <v>62007.34</v>
      </c>
      <c r="AI23" s="105">
        <v>62427.13</v>
      </c>
    </row>
    <row r="24" spans="1:35" s="66" customFormat="1">
      <c r="A24" s="164" t="s">
        <v>125</v>
      </c>
      <c r="B24" s="63">
        <f>B22-B23</f>
        <v>114258.0700000003</v>
      </c>
      <c r="C24" s="64">
        <f t="shared" ref="C24:S24" si="6">C22-C23</f>
        <v>329549</v>
      </c>
      <c r="D24" s="65">
        <f t="shared" si="6"/>
        <v>33853.192000000039</v>
      </c>
      <c r="E24" s="63">
        <f t="shared" si="6"/>
        <v>110311.41345544299</v>
      </c>
      <c r="F24" s="64">
        <f t="shared" si="6"/>
        <v>464919.63073794357</v>
      </c>
      <c r="G24" s="65">
        <f t="shared" si="6"/>
        <v>41451.980000000243</v>
      </c>
      <c r="H24" s="63">
        <f t="shared" si="6"/>
        <v>545941.84621520306</v>
      </c>
      <c r="I24" s="64">
        <f t="shared" si="6"/>
        <v>896386.61073794321</v>
      </c>
      <c r="J24" s="65" t="e">
        <f t="shared" si="6"/>
        <v>#REF!</v>
      </c>
      <c r="K24" s="63">
        <f t="shared" si="6"/>
        <v>660883.28462105582</v>
      </c>
      <c r="L24" s="64">
        <f t="shared" si="6"/>
        <v>948302.46150493901</v>
      </c>
      <c r="M24" s="65" t="e">
        <f t="shared" si="6"/>
        <v>#REF!</v>
      </c>
      <c r="N24" s="63">
        <f t="shared" si="6"/>
        <v>678928.50251534593</v>
      </c>
      <c r="O24" s="64">
        <f t="shared" si="6"/>
        <v>973218.36073794309</v>
      </c>
      <c r="P24" s="65">
        <f t="shared" si="6"/>
        <v>316493.4499999996</v>
      </c>
      <c r="Q24" s="202">
        <f t="shared" si="6"/>
        <v>1996065.0468070488</v>
      </c>
      <c r="R24" s="203">
        <f t="shared" si="6"/>
        <v>3282827.0637187697</v>
      </c>
      <c r="S24" s="204" t="e">
        <f t="shared" si="6"/>
        <v>#REF!</v>
      </c>
      <c r="U24" s="211">
        <f>U22+U21-U23</f>
        <v>-438366.58599999989</v>
      </c>
      <c r="V24" s="211">
        <f>V22+V21-V23</f>
        <v>1.2516542499509082E+39</v>
      </c>
      <c r="W24" s="211">
        <f>W22+W21-W23</f>
        <v>115692.99099999992</v>
      </c>
      <c r="X24" s="143">
        <f>X22+X21-X23</f>
        <v>1018444.2980000001</v>
      </c>
      <c r="Y24"/>
      <c r="Z24"/>
      <c r="AA24"/>
      <c r="AB24"/>
      <c r="AC24"/>
      <c r="AD24"/>
      <c r="AE24"/>
      <c r="AF24"/>
      <c r="AG24"/>
      <c r="AH24"/>
      <c r="AI24"/>
    </row>
    <row r="25" spans="1:35" s="48" customFormat="1">
      <c r="A25" s="165" t="s">
        <v>126</v>
      </c>
      <c r="B25" s="49"/>
      <c r="C25" s="50"/>
      <c r="D25" s="51">
        <f>D24-98390</f>
        <v>-64536.807999999961</v>
      </c>
      <c r="E25" s="49"/>
      <c r="F25" s="50"/>
      <c r="G25" s="51"/>
      <c r="H25" s="49"/>
      <c r="I25" s="50"/>
      <c r="J25" s="51"/>
      <c r="K25" s="49"/>
      <c r="L25" s="50"/>
      <c r="M25" s="51"/>
      <c r="N25" s="49"/>
      <c r="O25" s="50"/>
      <c r="P25" s="51"/>
      <c r="Q25" s="82"/>
      <c r="R25" s="50"/>
      <c r="S25" s="92"/>
      <c r="T25"/>
      <c r="U25" s="123"/>
      <c r="V25" s="123"/>
      <c r="W25" s="123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s="48" customFormat="1">
      <c r="A26" s="152" t="s">
        <v>176</v>
      </c>
      <c r="B26" s="11">
        <v>0.42</v>
      </c>
      <c r="C26" s="40">
        <v>0.42</v>
      </c>
      <c r="D26" s="44">
        <v>0.42</v>
      </c>
      <c r="E26" s="11">
        <v>0.42</v>
      </c>
      <c r="F26" s="40">
        <v>0.42</v>
      </c>
      <c r="G26" s="44">
        <v>0.42</v>
      </c>
      <c r="H26" s="11">
        <v>0.42</v>
      </c>
      <c r="I26" s="40">
        <v>0.42</v>
      </c>
      <c r="J26" s="44">
        <v>0.42</v>
      </c>
      <c r="K26" s="11">
        <v>0.42</v>
      </c>
      <c r="L26" s="40">
        <v>0.42</v>
      </c>
      <c r="M26" s="44">
        <v>0.42</v>
      </c>
      <c r="N26" s="11">
        <v>0.42</v>
      </c>
      <c r="O26" s="40">
        <v>0.42</v>
      </c>
      <c r="P26" s="44">
        <v>0.42</v>
      </c>
      <c r="Q26" s="46"/>
      <c r="R26" s="9"/>
      <c r="S26" s="91"/>
      <c r="T26" s="234" t="s">
        <v>128</v>
      </c>
      <c r="U26" s="227">
        <v>-294313.34999999998</v>
      </c>
      <c r="V26" s="227">
        <v>203722.02</v>
      </c>
      <c r="W26" s="227">
        <v>188981.84</v>
      </c>
      <c r="X26" s="180">
        <v>82208.009999999995</v>
      </c>
      <c r="Y26"/>
      <c r="Z26"/>
      <c r="AA26"/>
      <c r="AB26"/>
      <c r="AC26"/>
      <c r="AD26"/>
      <c r="AE26"/>
      <c r="AF26"/>
      <c r="AG26"/>
      <c r="AH26"/>
      <c r="AI26"/>
    </row>
    <row r="27" spans="1:35" s="48" customFormat="1">
      <c r="A27" s="152"/>
      <c r="B27" s="11"/>
      <c r="C27" s="40"/>
      <c r="D27" s="44"/>
      <c r="E27" s="11"/>
      <c r="F27" s="40"/>
      <c r="G27" s="44"/>
      <c r="H27" s="11"/>
      <c r="I27" s="40"/>
      <c r="J27" s="44"/>
      <c r="K27" s="11"/>
      <c r="L27" s="40"/>
      <c r="M27" s="44"/>
      <c r="N27" s="11"/>
      <c r="O27" s="40"/>
      <c r="P27" s="44"/>
      <c r="Q27" s="46"/>
      <c r="R27" s="9"/>
      <c r="S27" s="91"/>
      <c r="T27" s="234" t="s">
        <v>130</v>
      </c>
      <c r="U27" s="235">
        <f>[2]UK!AN$10</f>
        <v>1681.0500000000029</v>
      </c>
      <c r="V27" s="235">
        <f>[2]UK!AO$10</f>
        <v>-21700.809999999998</v>
      </c>
      <c r="W27" s="235">
        <f>[2]UK!AP$10</f>
        <v>-15209.720000000001</v>
      </c>
      <c r="X27" s="236">
        <f>[2]UK!AQ$10</f>
        <v>-3191</v>
      </c>
      <c r="Y27" s="142">
        <f>[2]UK!AR$10</f>
        <v>-6495</v>
      </c>
      <c r="Z27" s="142">
        <f>[2]UK!AS$10</f>
        <v>-14829</v>
      </c>
      <c r="AA27" s="142">
        <f>[2]UK!AT$10</f>
        <v>-11272</v>
      </c>
      <c r="AB27" s="142">
        <f>[2]UK!AU$10</f>
        <v>-15570</v>
      </c>
      <c r="AC27" s="142">
        <f>[2]UK!AV$10</f>
        <v>-42810</v>
      </c>
      <c r="AD27" s="142">
        <f>[2]UK!AW$10</f>
        <v>-86295.63</v>
      </c>
      <c r="AE27" s="142">
        <f>[2]UK!AX$10</f>
        <v>-5303</v>
      </c>
      <c r="AF27" s="142">
        <f>[2]UK!AY$10</f>
        <v>-909</v>
      </c>
      <c r="AG27" s="142">
        <f>[2]UK!AZ$10</f>
        <v>14272</v>
      </c>
      <c r="AH27" s="142">
        <f>[2]UK!BA$10</f>
        <v>0</v>
      </c>
      <c r="AI27" s="142">
        <f>[2]UK!BB$10</f>
        <v>0</v>
      </c>
    </row>
    <row r="28" spans="1:35" s="48" customFormat="1">
      <c r="A28" s="152"/>
      <c r="B28" s="11"/>
      <c r="C28" s="40"/>
      <c r="D28" s="44"/>
      <c r="E28" s="11"/>
      <c r="F28" s="40"/>
      <c r="G28" s="44"/>
      <c r="H28" s="11"/>
      <c r="I28" s="40"/>
      <c r="J28" s="44"/>
      <c r="K28" s="11"/>
      <c r="L28" s="40"/>
      <c r="M28" s="44"/>
      <c r="N28" s="11"/>
      <c r="O28" s="40"/>
      <c r="P28" s="44"/>
      <c r="Q28" s="46"/>
      <c r="R28" s="9"/>
      <c r="S28" s="91"/>
      <c r="T28" s="179" t="s">
        <v>131</v>
      </c>
      <c r="U28" s="227">
        <f>U27*1.6</f>
        <v>2689.6800000000048</v>
      </c>
      <c r="V28" s="227">
        <f>V27*1.6</f>
        <v>-34721.295999999995</v>
      </c>
      <c r="W28" s="227">
        <f>W27*1.6</f>
        <v>-24335.552000000003</v>
      </c>
      <c r="X28" s="180">
        <f>X27*1.6</f>
        <v>-5105.6000000000004</v>
      </c>
      <c r="Y28"/>
      <c r="Z28"/>
      <c r="AA28"/>
      <c r="AB28"/>
      <c r="AC28"/>
      <c r="AD28"/>
      <c r="AE28"/>
      <c r="AF28"/>
      <c r="AG28"/>
      <c r="AH28"/>
      <c r="AI28"/>
    </row>
    <row r="29" spans="1:35" s="48" customFormat="1">
      <c r="A29" s="166" t="s">
        <v>132</v>
      </c>
      <c r="B29" s="49">
        <f>IF(B24&lt;0,"NA",B24*(1-B26))</f>
        <v>66269.680600000182</v>
      </c>
      <c r="C29" s="50">
        <f t="shared" ref="C29:P29" si="7">IF(C24&lt;0,"NA",C24*(1-C26))</f>
        <v>191138.42</v>
      </c>
      <c r="D29" s="51">
        <f t="shared" si="7"/>
        <v>19634.851360000026</v>
      </c>
      <c r="E29" s="49">
        <f t="shared" si="7"/>
        <v>63980.619804156944</v>
      </c>
      <c r="F29" s="50">
        <f t="shared" si="7"/>
        <v>269653.3858280073</v>
      </c>
      <c r="G29" s="51">
        <f t="shared" si="7"/>
        <v>24042.148400000144</v>
      </c>
      <c r="H29" s="49">
        <f t="shared" si="7"/>
        <v>316646.27080481779</v>
      </c>
      <c r="I29" s="50">
        <f t="shared" si="7"/>
        <v>519904.23422800715</v>
      </c>
      <c r="J29" s="51" t="e">
        <f t="shared" si="7"/>
        <v>#REF!</v>
      </c>
      <c r="K29" s="49">
        <f t="shared" si="7"/>
        <v>383312.30508021242</v>
      </c>
      <c r="L29" s="50">
        <f t="shared" si="7"/>
        <v>550015.42767286464</v>
      </c>
      <c r="M29" s="51" t="e">
        <f t="shared" si="7"/>
        <v>#REF!</v>
      </c>
      <c r="N29" s="49">
        <f t="shared" si="7"/>
        <v>393778.53145890066</v>
      </c>
      <c r="O29" s="50">
        <f t="shared" si="7"/>
        <v>564466.64922800707</v>
      </c>
      <c r="P29" s="51">
        <f t="shared" si="7"/>
        <v>183566.2009999998</v>
      </c>
      <c r="Q29" s="82"/>
      <c r="R29" s="50"/>
      <c r="S29" s="92"/>
      <c r="T29" s="179" t="s">
        <v>133</v>
      </c>
      <c r="U29" s="228">
        <f>U24-U26-U28</f>
        <v>-146742.91599999991</v>
      </c>
      <c r="V29" s="228">
        <f>V24-V26-V28</f>
        <v>1.2516542499509082E+39</v>
      </c>
      <c r="W29" s="228">
        <f>W24-W26-W28</f>
        <v>-48953.297000000071</v>
      </c>
      <c r="X29" s="181">
        <f>X24-X26-X28</f>
        <v>941341.88800000004</v>
      </c>
      <c r="Y29"/>
      <c r="Z29"/>
      <c r="AA29"/>
      <c r="AB29"/>
      <c r="AC29"/>
      <c r="AD29"/>
      <c r="AE29"/>
      <c r="AF29"/>
      <c r="AG29"/>
      <c r="AH29"/>
      <c r="AI29"/>
    </row>
    <row r="30" spans="1:35" s="52" customFormat="1">
      <c r="A30" s="167" t="s">
        <v>134</v>
      </c>
      <c r="B30" s="11"/>
      <c r="C30" s="40"/>
      <c r="D30" s="51">
        <f t="shared" ref="D30:D35" si="8">AVERAGE(U30,V30,W30)</f>
        <v>2649452.6433333331</v>
      </c>
      <c r="E30" s="11"/>
      <c r="F30" s="40"/>
      <c r="G30" s="44"/>
      <c r="H30" s="11"/>
      <c r="I30" s="40"/>
      <c r="J30" s="44"/>
      <c r="K30" s="11"/>
      <c r="L30" s="40"/>
      <c r="M30" s="44"/>
      <c r="N30" s="11"/>
      <c r="O30" s="40"/>
      <c r="P30" s="44"/>
      <c r="Q30" s="46"/>
      <c r="R30" s="9"/>
      <c r="S30" s="91"/>
      <c r="U30" s="144">
        <f>2612672.76+74591</f>
        <v>2687263.76</v>
      </c>
      <c r="V30" s="144">
        <f>2670250.02+41263</f>
        <v>2711513.02</v>
      </c>
      <c r="W30" s="144">
        <f>2514329+35252.15</f>
        <v>2549581.15</v>
      </c>
      <c r="X30" s="48">
        <f>2272566.85+62444</f>
        <v>2335010.85</v>
      </c>
      <c r="Y30"/>
      <c r="Z30"/>
      <c r="AA30"/>
      <c r="AB30"/>
      <c r="AC30"/>
      <c r="AD30"/>
      <c r="AE30"/>
      <c r="AF30"/>
      <c r="AG30"/>
      <c r="AH30"/>
      <c r="AI30"/>
    </row>
    <row r="31" spans="1:35">
      <c r="A31" s="155" t="s">
        <v>135</v>
      </c>
      <c r="B31" s="11"/>
      <c r="C31" s="9"/>
      <c r="D31" s="50">
        <f t="shared" si="8"/>
        <v>223765.81333333332</v>
      </c>
      <c r="E31" s="11"/>
      <c r="F31" s="9"/>
      <c r="G31" s="9"/>
      <c r="H31" s="11"/>
      <c r="I31" s="9"/>
      <c r="J31" s="9"/>
      <c r="K31" s="11"/>
      <c r="L31" s="9"/>
      <c r="M31" s="9"/>
      <c r="N31" s="11"/>
      <c r="O31" s="9"/>
      <c r="P31" s="9"/>
      <c r="Q31" s="46"/>
      <c r="R31" s="9"/>
      <c r="S31" s="91"/>
      <c r="U31" s="144">
        <v>211889.29</v>
      </c>
      <c r="V31" s="144">
        <v>225179.3</v>
      </c>
      <c r="W31" s="144">
        <v>234228.85</v>
      </c>
      <c r="X31" s="48">
        <v>243620.74</v>
      </c>
    </row>
    <row r="32" spans="1:35">
      <c r="A32" s="155" t="s">
        <v>136</v>
      </c>
      <c r="B32" s="11"/>
      <c r="C32" s="9"/>
      <c r="D32" s="50">
        <f t="shared" si="8"/>
        <v>6401169.2333333343</v>
      </c>
      <c r="E32" s="11"/>
      <c r="F32" s="9"/>
      <c r="G32" s="9"/>
      <c r="H32" s="11"/>
      <c r="I32" s="9"/>
      <c r="J32" s="9"/>
      <c r="K32" s="11"/>
      <c r="L32" s="9"/>
      <c r="M32" s="9"/>
      <c r="N32" s="11"/>
      <c r="O32" s="9"/>
      <c r="P32" s="9"/>
      <c r="Q32" s="46"/>
      <c r="R32" s="9"/>
      <c r="S32" s="91"/>
      <c r="U32" s="144">
        <v>6473866.9000000004</v>
      </c>
      <c r="V32" s="144">
        <v>6403954.3099999996</v>
      </c>
      <c r="W32" s="144">
        <v>6325686.4900000002</v>
      </c>
      <c r="X32" s="48">
        <v>6261776</v>
      </c>
    </row>
    <row r="33" spans="1:35">
      <c r="A33" s="155" t="s">
        <v>137</v>
      </c>
      <c r="B33" s="11"/>
      <c r="C33" s="9"/>
      <c r="D33" s="50">
        <f t="shared" si="8"/>
        <v>3253480.956666667</v>
      </c>
      <c r="E33" s="11"/>
      <c r="F33" s="9"/>
      <c r="G33" s="9"/>
      <c r="H33" s="11"/>
      <c r="I33" s="9"/>
      <c r="J33" s="9"/>
      <c r="K33" s="11"/>
      <c r="L33" s="9"/>
      <c r="M33" s="9"/>
      <c r="N33" s="11"/>
      <c r="O33" s="9"/>
      <c r="P33" s="9"/>
      <c r="Q33" s="46"/>
      <c r="R33" s="9"/>
      <c r="S33" s="91"/>
      <c r="U33" s="144">
        <v>3913357.33</v>
      </c>
      <c r="V33" s="144">
        <v>3416103.38</v>
      </c>
      <c r="W33" s="144">
        <v>2430982.16</v>
      </c>
      <c r="X33" s="48">
        <v>2288826.2999999998</v>
      </c>
    </row>
    <row r="34" spans="1:35">
      <c r="A34" s="168" t="s">
        <v>138</v>
      </c>
      <c r="B34" s="11"/>
      <c r="C34" s="9"/>
      <c r="D34" s="50">
        <f t="shared" si="8"/>
        <v>915365.83000000007</v>
      </c>
      <c r="E34" s="11"/>
      <c r="F34" s="9"/>
      <c r="G34" s="9"/>
      <c r="H34" s="11"/>
      <c r="I34" s="9"/>
      <c r="J34" s="9"/>
      <c r="K34" s="11"/>
      <c r="L34" s="9"/>
      <c r="M34" s="9"/>
      <c r="N34" s="11"/>
      <c r="O34" s="9"/>
      <c r="P34" s="9"/>
      <c r="Q34" s="46"/>
      <c r="R34" s="9"/>
      <c r="S34" s="91"/>
      <c r="T34" t="s">
        <v>139</v>
      </c>
      <c r="U34" s="144">
        <v>882428.16</v>
      </c>
      <c r="V34" s="144">
        <v>931765</v>
      </c>
      <c r="W34" s="144">
        <v>931904.33</v>
      </c>
      <c r="X34" s="48">
        <v>933903.62</v>
      </c>
    </row>
    <row r="35" spans="1:35" ht="39">
      <c r="A35" s="169" t="s">
        <v>140</v>
      </c>
      <c r="B35" s="8">
        <f>'Sheet 17'!B24+'sheet 11'!B25+Process!B26+Instruments!B26</f>
        <v>0</v>
      </c>
      <c r="C35" s="9">
        <f>'Sheet 17'!C24+'sheet 11'!C25+Process!C26+Instruments!C26</f>
        <v>0</v>
      </c>
      <c r="D35" s="257">
        <f t="shared" si="8"/>
        <v>6936272.5633333325</v>
      </c>
      <c r="E35" s="8">
        <f>'Sheet 17'!E24+'sheet 11'!E25+Process!E26+Instruments!E26</f>
        <v>0</v>
      </c>
      <c r="F35" s="9">
        <f>'Sheet 17'!F24+'sheet 11'!F25+Process!F26+Instruments!F26</f>
        <v>0</v>
      </c>
      <c r="G35" s="10">
        <f>'Sheet 17'!G24+'sheet 11'!G25+Process!G26+Instruments!G26</f>
        <v>0</v>
      </c>
      <c r="H35" s="8">
        <f>'Sheet 17'!H24+'sheet 11'!H25+Process!H26+Instruments!H26</f>
        <v>0</v>
      </c>
      <c r="I35" s="9">
        <f>'Sheet 17'!I24+'sheet 11'!I25+Process!I26+Instruments!I26</f>
        <v>0</v>
      </c>
      <c r="J35" s="10">
        <f>'Sheet 17'!J24+'sheet 11'!J25+Process!J26+Instruments!J26</f>
        <v>0</v>
      </c>
      <c r="K35" s="8">
        <f>'Sheet 17'!K24+'sheet 11'!K25+Process!K26+Instruments!K26</f>
        <v>0</v>
      </c>
      <c r="L35" s="9">
        <f>'Sheet 17'!L24+'sheet 11'!L25+Process!L26+Instruments!L26</f>
        <v>0</v>
      </c>
      <c r="M35" s="10">
        <f>'Sheet 17'!M24+'sheet 11'!M25+Process!M26+Instruments!M26</f>
        <v>0</v>
      </c>
      <c r="N35" s="8">
        <f>'Sheet 17'!N24+'sheet 11'!N25+Process!N26+Instruments!N26</f>
        <v>0</v>
      </c>
      <c r="O35" s="9">
        <f>'Sheet 17'!O24+'sheet 11'!O25+Process!O26+Instruments!O26</f>
        <v>0</v>
      </c>
      <c r="P35" s="10">
        <f>'Sheet 17'!P24+'sheet 11'!P25+Process!P26+Instruments!P26</f>
        <v>0</v>
      </c>
      <c r="Q35" s="46"/>
      <c r="R35" s="9"/>
      <c r="S35" s="87"/>
      <c r="U35" s="211">
        <f>U30+U31+U32+U34-U33</f>
        <v>6342090.7799999993</v>
      </c>
      <c r="V35" s="211">
        <f t="shared" ref="V35:AI35" si="9">V30+V31+V32+V34-V33</f>
        <v>6856308.2499999991</v>
      </c>
      <c r="W35" s="211">
        <f t="shared" si="9"/>
        <v>7610418.6600000001</v>
      </c>
      <c r="X35" s="143">
        <f t="shared" si="9"/>
        <v>7485484.9099999992</v>
      </c>
      <c r="Y35" s="143">
        <f t="shared" si="9"/>
        <v>0</v>
      </c>
      <c r="Z35" s="143">
        <f t="shared" si="9"/>
        <v>0</v>
      </c>
      <c r="AA35" s="143">
        <f t="shared" si="9"/>
        <v>0</v>
      </c>
      <c r="AB35" s="143">
        <f t="shared" si="9"/>
        <v>0</v>
      </c>
      <c r="AC35" s="143">
        <f t="shared" si="9"/>
        <v>0</v>
      </c>
      <c r="AD35" s="143">
        <f t="shared" si="9"/>
        <v>0</v>
      </c>
      <c r="AE35" s="143">
        <f t="shared" si="9"/>
        <v>0</v>
      </c>
      <c r="AF35" s="143">
        <f t="shared" si="9"/>
        <v>0</v>
      </c>
      <c r="AG35" s="143">
        <f t="shared" si="9"/>
        <v>0</v>
      </c>
      <c r="AH35" s="143">
        <f t="shared" si="9"/>
        <v>0</v>
      </c>
      <c r="AI35" s="143">
        <f t="shared" si="9"/>
        <v>0</v>
      </c>
    </row>
    <row r="36" spans="1:35">
      <c r="A36" s="169"/>
      <c r="B36" s="8">
        <f>'Sheet 17'!B25+'sheet 11'!B26+Process!B27+Instruments!B27</f>
        <v>0</v>
      </c>
      <c r="C36" s="9">
        <f>'Sheet 17'!C25+'sheet 11'!C26+Process!C27+Instruments!C27</f>
        <v>0</v>
      </c>
      <c r="D36" s="10">
        <f>'Sheet 17'!D25+'sheet 11'!D26+Process!D27+Instruments!D27</f>
        <v>0</v>
      </c>
      <c r="E36" s="8">
        <f>'Sheet 17'!E25+'sheet 11'!E26+Process!E27+Instruments!E27</f>
        <v>0</v>
      </c>
      <c r="F36" s="9">
        <f>'Sheet 17'!F25+'sheet 11'!F26+Process!F27+Instruments!F27</f>
        <v>0</v>
      </c>
      <c r="G36" s="10">
        <f>'Sheet 17'!G25+'sheet 11'!G26+Process!G27+Instruments!G27</f>
        <v>0</v>
      </c>
      <c r="H36" s="8">
        <f>'Sheet 17'!H25+'sheet 11'!H26+Process!H27+Instruments!H27</f>
        <v>0</v>
      </c>
      <c r="I36" s="9">
        <f>'Sheet 17'!I25+'sheet 11'!I26+Process!I27+Instruments!I27</f>
        <v>0</v>
      </c>
      <c r="J36" s="10">
        <f>'Sheet 17'!J25+'sheet 11'!J26+Process!J27+Instruments!J27</f>
        <v>0</v>
      </c>
      <c r="K36" s="8">
        <f>'Sheet 17'!K25+'sheet 11'!K26+Process!K27+Instruments!K27</f>
        <v>0</v>
      </c>
      <c r="L36" s="9">
        <f>'Sheet 17'!L25+'sheet 11'!L26+Process!L27+Instruments!L27</f>
        <v>0</v>
      </c>
      <c r="M36" s="10">
        <f>'Sheet 17'!M25+'sheet 11'!M26+Process!M27+Instruments!M27</f>
        <v>0</v>
      </c>
      <c r="N36" s="8">
        <f>'Sheet 17'!N25+'sheet 11'!N26+Process!N27+Instruments!N27</f>
        <v>0</v>
      </c>
      <c r="O36" s="9">
        <f>'Sheet 17'!O25+'sheet 11'!O26+Process!O27+Instruments!O27</f>
        <v>0</v>
      </c>
      <c r="P36" s="10">
        <f>'Sheet 17'!P25+'sheet 11'!P26+Process!P27+Instruments!P27</f>
        <v>0</v>
      </c>
      <c r="Q36" s="46"/>
      <c r="R36" s="9"/>
      <c r="S36" s="87"/>
    </row>
    <row r="37" spans="1:35" ht="26">
      <c r="A37" s="169" t="s">
        <v>141</v>
      </c>
      <c r="B37" s="8">
        <f>'Sheet 17'!B26+'sheet 11'!B27+Process!B28+Instruments!B28</f>
        <v>0</v>
      </c>
      <c r="C37" s="9">
        <f>'Sheet 17'!C26+'sheet 11'!C27+Process!C28+Instruments!C28</f>
        <v>0</v>
      </c>
      <c r="D37" s="257">
        <f>U37+V37+W37</f>
        <v>208088.17689999996</v>
      </c>
      <c r="E37" s="8">
        <f>'Sheet 17'!E26+'sheet 11'!E27+Process!E28+Instruments!E28</f>
        <v>0</v>
      </c>
      <c r="F37" s="9">
        <f>'Sheet 17'!F26+'sheet 11'!F27+Process!F28+Instruments!F28</f>
        <v>0</v>
      </c>
      <c r="G37" s="10">
        <f>'Sheet 17'!G26+'sheet 11'!G27+Process!G28+Instruments!G28</f>
        <v>0</v>
      </c>
      <c r="H37" s="8">
        <f>'Sheet 17'!H26+'sheet 11'!H27+Process!H28+Instruments!H28</f>
        <v>0</v>
      </c>
      <c r="I37" s="9">
        <f>'Sheet 17'!I26+'sheet 11'!I27+Process!I28+Instruments!I28</f>
        <v>0</v>
      </c>
      <c r="J37" s="10">
        <f>'Sheet 17'!J26+'sheet 11'!J27+Process!J28+Instruments!J28</f>
        <v>0</v>
      </c>
      <c r="K37" s="8">
        <f>'Sheet 17'!K26+'sheet 11'!K27+Process!K28+Instruments!K28</f>
        <v>0</v>
      </c>
      <c r="L37" s="9">
        <f>'Sheet 17'!L26+'sheet 11'!L27+Process!L28+Instruments!L28</f>
        <v>0</v>
      </c>
      <c r="M37" s="10">
        <f>'Sheet 17'!M26+'sheet 11'!M27+Process!M28+Instruments!M28</f>
        <v>0</v>
      </c>
      <c r="N37" s="8">
        <f>'Sheet 17'!N26+'sheet 11'!N27+Process!N28+Instruments!N28</f>
        <v>0</v>
      </c>
      <c r="O37" s="9">
        <f>'Sheet 17'!O26+'sheet 11'!O27+Process!O28+Instruments!O28</f>
        <v>0</v>
      </c>
      <c r="P37" s="10">
        <f>'Sheet 17'!P26+'sheet 11'!P27+Process!P28+Instruments!P28</f>
        <v>0</v>
      </c>
      <c r="Q37" s="46"/>
      <c r="R37" s="9"/>
      <c r="S37" s="87"/>
      <c r="U37" s="144">
        <f>U35*U38/12</f>
        <v>63420.907799999986</v>
      </c>
      <c r="V37" s="144">
        <f t="shared" ref="V37:AI37" si="10">V35*V38/12</f>
        <v>68563.08249999999</v>
      </c>
      <c r="W37" s="144">
        <f t="shared" si="10"/>
        <v>76104.186600000001</v>
      </c>
      <c r="X37" s="48">
        <f t="shared" si="10"/>
        <v>74854.849099999992</v>
      </c>
      <c r="Y37" s="48">
        <f t="shared" si="10"/>
        <v>0</v>
      </c>
      <c r="Z37" s="48">
        <f t="shared" si="10"/>
        <v>0</v>
      </c>
      <c r="AA37" s="48">
        <f t="shared" si="10"/>
        <v>0</v>
      </c>
      <c r="AB37" s="48">
        <f t="shared" si="10"/>
        <v>0</v>
      </c>
      <c r="AC37" s="48">
        <f t="shared" si="10"/>
        <v>0</v>
      </c>
      <c r="AD37" s="48">
        <f t="shared" si="10"/>
        <v>0</v>
      </c>
      <c r="AE37" s="48">
        <f t="shared" si="10"/>
        <v>0</v>
      </c>
      <c r="AF37" s="48">
        <f t="shared" si="10"/>
        <v>0</v>
      </c>
      <c r="AG37" s="48">
        <f t="shared" si="10"/>
        <v>0</v>
      </c>
      <c r="AH37" s="48">
        <f t="shared" si="10"/>
        <v>0</v>
      </c>
      <c r="AI37" s="48">
        <f t="shared" si="10"/>
        <v>0</v>
      </c>
    </row>
    <row r="38" spans="1:35">
      <c r="A38" s="169" t="s">
        <v>142</v>
      </c>
      <c r="B38" s="11">
        <v>0.105</v>
      </c>
      <c r="C38" s="9">
        <v>0.105</v>
      </c>
      <c r="D38" s="10">
        <v>0.12</v>
      </c>
      <c r="E38" s="11">
        <v>0.105</v>
      </c>
      <c r="F38" s="9">
        <v>0.105</v>
      </c>
      <c r="G38" s="10">
        <v>0.105</v>
      </c>
      <c r="H38" s="11">
        <f>'Sheet 17'!H27+'sheet 11'!H28+Process!H29+Instruments!H29</f>
        <v>0</v>
      </c>
      <c r="I38" s="9">
        <f>'Sheet 17'!I27+'sheet 11'!I28+Process!I29+Instruments!I29</f>
        <v>0</v>
      </c>
      <c r="J38" s="10">
        <f>'Sheet 17'!J27+'sheet 11'!J28+Process!J29+Instruments!J29</f>
        <v>0</v>
      </c>
      <c r="K38" s="11">
        <f>'Sheet 17'!K27+'sheet 11'!K28+Process!K29+Instruments!K29</f>
        <v>0</v>
      </c>
      <c r="L38" s="9">
        <f>'Sheet 17'!L27+'sheet 11'!L28+Process!L29+Instruments!L29</f>
        <v>0</v>
      </c>
      <c r="M38" s="10">
        <f>'Sheet 17'!M27+'sheet 11'!M28+Process!M29+Instruments!M29</f>
        <v>0</v>
      </c>
      <c r="N38" s="11">
        <f>'Sheet 17'!N27+'sheet 11'!N28+Process!N29+Instruments!N29</f>
        <v>0</v>
      </c>
      <c r="O38" s="9">
        <f>'Sheet 17'!O27+'sheet 11'!O28+Process!O29+Instruments!O29</f>
        <v>0</v>
      </c>
      <c r="P38" s="10">
        <f>'Sheet 17'!P27+'sheet 11'!P28+Process!P29+Instruments!P29</f>
        <v>0</v>
      </c>
      <c r="Q38" s="46"/>
      <c r="R38" s="9"/>
      <c r="S38" s="87"/>
      <c r="U38" s="229">
        <v>0.12</v>
      </c>
      <c r="V38" s="229">
        <v>0.12</v>
      </c>
      <c r="W38" s="229">
        <v>0.12</v>
      </c>
      <c r="X38" s="52">
        <v>0.12</v>
      </c>
      <c r="Y38" s="52">
        <v>0.12</v>
      </c>
      <c r="Z38" s="52">
        <v>0.12</v>
      </c>
      <c r="AA38" s="52">
        <v>0.12</v>
      </c>
      <c r="AB38" s="52">
        <v>0.12</v>
      </c>
      <c r="AC38" s="52">
        <v>0.12</v>
      </c>
      <c r="AD38" s="52">
        <v>0.12</v>
      </c>
      <c r="AE38" s="52">
        <v>0.12</v>
      </c>
      <c r="AF38" s="52">
        <v>0.12</v>
      </c>
      <c r="AG38" s="52">
        <v>0.12</v>
      </c>
      <c r="AH38" s="52">
        <v>0.12</v>
      </c>
      <c r="AI38" s="52">
        <v>0.12</v>
      </c>
    </row>
    <row r="39" spans="1:35">
      <c r="A39" s="169" t="s">
        <v>143</v>
      </c>
      <c r="B39" s="8">
        <f>'Sheet 17'!B28+'sheet 11'!B29+Process!B30+Instruments!B30</f>
        <v>0</v>
      </c>
      <c r="C39" s="9">
        <f>'Sheet 17'!C28+'sheet 11'!C29+Process!C30+Instruments!C30</f>
        <v>0</v>
      </c>
      <c r="D39" s="257">
        <f>U39+V39+W39</f>
        <v>168371.55</v>
      </c>
      <c r="E39" s="8">
        <f>'Sheet 17'!E28+'sheet 11'!E29+Process!E30+Instruments!E30</f>
        <v>0</v>
      </c>
      <c r="F39" s="9">
        <f>'Sheet 17'!F28+'sheet 11'!F29+Process!F30+Instruments!F30</f>
        <v>0</v>
      </c>
      <c r="G39" s="10">
        <f>'Sheet 17'!G28+'sheet 11'!G29+Process!G30+Instruments!G30</f>
        <v>0</v>
      </c>
      <c r="H39" s="8">
        <f>'Sheet 17'!H28+'sheet 11'!H29+Process!H30+Instruments!H30</f>
        <v>0</v>
      </c>
      <c r="I39" s="9">
        <f>'Sheet 17'!I28+'sheet 11'!I29+Process!I30+Instruments!I30</f>
        <v>0</v>
      </c>
      <c r="J39" s="10">
        <f>'Sheet 17'!J28+'sheet 11'!J29+Process!J30+Instruments!J30</f>
        <v>0</v>
      </c>
      <c r="K39" s="8">
        <f>'Sheet 17'!K28+'sheet 11'!K29+Process!K30+Instruments!K30</f>
        <v>0</v>
      </c>
      <c r="L39" s="9">
        <f>'Sheet 17'!L28+'sheet 11'!L29+Process!L30+Instruments!L30</f>
        <v>0</v>
      </c>
      <c r="M39" s="10">
        <f>'Sheet 17'!M28+'sheet 11'!M29+Process!M30+Instruments!M30</f>
        <v>0</v>
      </c>
      <c r="N39" s="8">
        <f>'Sheet 17'!N28+'sheet 11'!N29+Process!N30+Instruments!N30</f>
        <v>0</v>
      </c>
      <c r="O39" s="9">
        <f>'Sheet 17'!O28+'sheet 11'!O29+Process!O30+Instruments!O30</f>
        <v>0</v>
      </c>
      <c r="P39" s="10">
        <f>'Sheet 17'!P28+'sheet 11'!P29+Process!P30+Instruments!P30</f>
        <v>0</v>
      </c>
      <c r="Q39" s="46"/>
      <c r="R39" s="9"/>
      <c r="S39" s="87"/>
      <c r="U39" s="144">
        <v>62609.99</v>
      </c>
      <c r="V39" s="144">
        <v>48049.94</v>
      </c>
      <c r="W39" s="144">
        <v>57711.62</v>
      </c>
      <c r="X39" s="48">
        <v>77353.399999999994</v>
      </c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26">
      <c r="A40" s="170" t="s">
        <v>144</v>
      </c>
      <c r="B40" s="6">
        <f>'Sheet 17'!B29+'sheet 11'!B30+Process!B31+Instruments!B31</f>
        <v>0</v>
      </c>
      <c r="C40" s="1">
        <f>'Sheet 17'!C29+'sheet 11'!C30+Process!C31+Instruments!C31</f>
        <v>0</v>
      </c>
      <c r="D40" s="130">
        <f>D24+D39-D37</f>
        <v>-5863.4348999999347</v>
      </c>
      <c r="E40" s="6">
        <f>'Sheet 17'!E29+'sheet 11'!E30+Process!E31+Instruments!E31</f>
        <v>0</v>
      </c>
      <c r="F40" s="1">
        <f>'Sheet 17'!F29+'sheet 11'!F30+Process!F31+Instruments!F31</f>
        <v>0</v>
      </c>
      <c r="G40" s="7">
        <f>'Sheet 17'!G29+'sheet 11'!G30+Process!G31+Instruments!G31</f>
        <v>0</v>
      </c>
      <c r="H40" s="6">
        <f>'Sheet 17'!H29+'sheet 11'!H30+Process!H31+Instruments!H31</f>
        <v>0</v>
      </c>
      <c r="I40" s="1">
        <f>'Sheet 17'!I29+'sheet 11'!I30+Process!I31+Instruments!I31</f>
        <v>0</v>
      </c>
      <c r="J40" s="7">
        <f>'Sheet 17'!J29+'sheet 11'!J30+Process!J31+Instruments!J31</f>
        <v>0</v>
      </c>
      <c r="K40" s="6">
        <f>'Sheet 17'!K29+'sheet 11'!K30+Process!K31+Instruments!K31</f>
        <v>0</v>
      </c>
      <c r="L40" s="1">
        <f>'Sheet 17'!L29+'sheet 11'!L30+Process!L31+Instruments!L31</f>
        <v>0</v>
      </c>
      <c r="M40" s="7">
        <f>'Sheet 17'!M29+'sheet 11'!M30+Process!M31+Instruments!M31</f>
        <v>0</v>
      </c>
      <c r="N40" s="6">
        <f>'Sheet 17'!N29+'sheet 11'!N30+Process!N31+Instruments!N31</f>
        <v>0</v>
      </c>
      <c r="O40" s="1">
        <f>'Sheet 17'!O29+'sheet 11'!O30+Process!O31+Instruments!O31</f>
        <v>0</v>
      </c>
      <c r="P40" s="7">
        <f>'Sheet 17'!P29+'sheet 11'!P30+Process!P31+Instruments!P31</f>
        <v>0</v>
      </c>
      <c r="Q40" s="83"/>
      <c r="R40" s="1"/>
      <c r="S40" s="89"/>
      <c r="U40" s="230">
        <f>U24+U39-U37</f>
        <v>-439177.50379999989</v>
      </c>
      <c r="V40" s="230">
        <f t="shared" ref="V40:AI40" si="11">V24+V39-V37</f>
        <v>1.2516542499509082E+39</v>
      </c>
      <c r="W40" s="230">
        <f t="shared" si="11"/>
        <v>97300.424399999916</v>
      </c>
      <c r="X40" s="145">
        <f t="shared" si="11"/>
        <v>1020942.8489000001</v>
      </c>
      <c r="Y40" s="145">
        <f t="shared" si="11"/>
        <v>0</v>
      </c>
      <c r="Z40" s="145">
        <f t="shared" si="11"/>
        <v>0</v>
      </c>
      <c r="AA40" s="145">
        <f t="shared" si="11"/>
        <v>0</v>
      </c>
      <c r="AB40" s="145">
        <f t="shared" si="11"/>
        <v>0</v>
      </c>
      <c r="AC40" s="145">
        <f t="shared" si="11"/>
        <v>0</v>
      </c>
      <c r="AD40" s="145">
        <f t="shared" si="11"/>
        <v>0</v>
      </c>
      <c r="AE40" s="145">
        <f t="shared" si="11"/>
        <v>0</v>
      </c>
      <c r="AF40" s="145">
        <f t="shared" si="11"/>
        <v>0</v>
      </c>
      <c r="AG40" s="145">
        <f t="shared" si="11"/>
        <v>0</v>
      </c>
      <c r="AH40" s="145">
        <f t="shared" si="11"/>
        <v>0</v>
      </c>
      <c r="AI40" s="145">
        <f t="shared" si="11"/>
        <v>0</v>
      </c>
    </row>
    <row r="41" spans="1:35">
      <c r="A41" s="171" t="s">
        <v>145</v>
      </c>
      <c r="B41" s="8"/>
      <c r="C41" s="9"/>
      <c r="D41" s="10"/>
      <c r="E41" s="8"/>
      <c r="F41" s="9"/>
      <c r="G41" s="10"/>
      <c r="H41" s="8"/>
      <c r="I41" s="9"/>
      <c r="J41" s="10"/>
      <c r="K41" s="8"/>
      <c r="L41" s="9"/>
      <c r="M41" s="10"/>
      <c r="N41" s="8"/>
      <c r="O41" s="9"/>
      <c r="P41" s="10"/>
      <c r="Q41" s="46"/>
      <c r="R41" s="9"/>
      <c r="S41" s="87"/>
    </row>
    <row r="42" spans="1:35" s="48" customFormat="1">
      <c r="A42" s="160" t="s">
        <v>146</v>
      </c>
      <c r="B42" s="49">
        <f t="shared" ref="B42:P42" si="12">B15</f>
        <v>215144</v>
      </c>
      <c r="C42" s="50">
        <f t="shared" si="12"/>
        <v>215144</v>
      </c>
      <c r="D42" s="51">
        <f t="shared" si="12"/>
        <v>212686</v>
      </c>
      <c r="E42" s="49">
        <f t="shared" si="12"/>
        <v>215144</v>
      </c>
      <c r="F42" s="50">
        <f t="shared" si="12"/>
        <v>215144</v>
      </c>
      <c r="G42" s="51">
        <f t="shared" si="12"/>
        <v>67697.63</v>
      </c>
      <c r="H42" s="49">
        <f t="shared" si="12"/>
        <v>87296.63</v>
      </c>
      <c r="I42" s="50">
        <f t="shared" si="12"/>
        <v>87296.63</v>
      </c>
      <c r="J42" s="51">
        <f t="shared" si="12"/>
        <v>49490.260300000002</v>
      </c>
      <c r="K42" s="49">
        <f t="shared" si="12"/>
        <v>87296.63</v>
      </c>
      <c r="L42" s="50">
        <f t="shared" si="12"/>
        <v>87296.63</v>
      </c>
      <c r="M42" s="51">
        <f t="shared" si="12"/>
        <v>2500.63</v>
      </c>
      <c r="N42" s="49">
        <f t="shared" si="12"/>
        <v>90596.63</v>
      </c>
      <c r="O42" s="50">
        <f t="shared" si="12"/>
        <v>90596.63</v>
      </c>
      <c r="P42" s="51">
        <f t="shared" si="12"/>
        <v>2500.63</v>
      </c>
      <c r="Q42" s="80">
        <f>E42+H42+K42+N42</f>
        <v>480333.89</v>
      </c>
      <c r="R42" s="80">
        <f>F42+I42+L42+O42</f>
        <v>480333.89</v>
      </c>
      <c r="S42" s="92">
        <f>G42+J42+M42+P42</f>
        <v>122189.15030000001</v>
      </c>
      <c r="U42" s="144">
        <f>'Sheet 17'!U15+'sheet 11'!U15 +Process!U15+Instruments!U15</f>
        <v>37967.460000000006</v>
      </c>
      <c r="V42" s="144">
        <f>'Sheet 17'!V15+'sheet 11'!V15 +Process!V15+Instruments!V15</f>
        <v>4.1721808331696939E+38</v>
      </c>
      <c r="W42" s="144">
        <f>'Sheet 17'!W15+'sheet 11'!W15 +Process!W15+Instruments!W15</f>
        <v>4219.6740000000009</v>
      </c>
      <c r="X42" s="48">
        <f>'Sheet 17'!X15+'sheet 11'!X15 +Process!X15+Instruments!X15</f>
        <v>361078.239</v>
      </c>
      <c r="Y42" s="48">
        <f>'Sheet 17'!Y15+'sheet 11'!Y15 +Process!Y15+Instruments!Y15</f>
        <v>18865.710000000003</v>
      </c>
      <c r="Z42" s="48">
        <f>'Sheet 17'!Z15+'sheet 11'!Z15 +Process!Z15+Instruments!Z15</f>
        <v>17224.707000000002</v>
      </c>
      <c r="AA42" s="48">
        <f>'Sheet 17'!AA15+'sheet 11'!AA15 +Process!AA15+Instruments!AA15</f>
        <v>12382.818299999999</v>
      </c>
      <c r="AB42" s="48">
        <f>'Sheet 17'!AB15+'sheet 11'!AB15 +Process!AB15+Instruments!AB15</f>
        <v>11760.927</v>
      </c>
      <c r="AC42" s="48">
        <f>'Sheet 17'!AC15+'sheet 11'!AC15 +Process!AC15+Instruments!AC15</f>
        <v>21362.174999999999</v>
      </c>
      <c r="AD42" s="48">
        <f>'Sheet 17'!AD15+'sheet 11'!AD15 +Process!AD15+Instruments!AD15</f>
        <v>17040.915000000001</v>
      </c>
      <c r="AE42" s="48">
        <f>'Sheet 17'!AE15+'sheet 11'!AE15 +Process!AE15+Instruments!AE15</f>
        <v>24963.288000000004</v>
      </c>
      <c r="AF42" s="48">
        <f>'Sheet 17'!AF15+'sheet 11'!AF15 +Process!AF15+Instruments!AF15</f>
        <v>21040.923000000003</v>
      </c>
      <c r="AG42" s="48">
        <f>'Sheet 17'!AG15+'sheet 11'!AG15 +Process!AG15+Instruments!AG15</f>
        <v>32016.638999999999</v>
      </c>
      <c r="AH42" s="48">
        <f>'Sheet 17'!AH15+'sheet 11'!AH15 +Process!AH15+Instruments!AH15</f>
        <v>21813.414000000004</v>
      </c>
      <c r="AI42" s="48">
        <f>'Sheet 17'!AI15+'sheet 11'!AI15 +Process!AI15+Instruments!AI15</f>
        <v>19943.373</v>
      </c>
    </row>
    <row r="43" spans="1:35" s="1" customFormat="1">
      <c r="A43" s="156" t="s">
        <v>147</v>
      </c>
      <c r="B43" s="55">
        <f t="array" ref="B43:AI43">Finance!$B$15:$AI$15</f>
        <v>254273</v>
      </c>
      <c r="C43" s="56">
        <v>249187.54</v>
      </c>
      <c r="D43" s="57">
        <v>222921.58</v>
      </c>
      <c r="E43" s="55">
        <v>218000</v>
      </c>
      <c r="F43" s="56">
        <v>218000</v>
      </c>
      <c r="G43" s="57">
        <v>191754.62</v>
      </c>
      <c r="H43" s="55">
        <v>255000</v>
      </c>
      <c r="I43" s="56">
        <v>240000</v>
      </c>
      <c r="J43" s="57">
        <v>148370.95000000001</v>
      </c>
      <c r="K43" s="55">
        <v>255000</v>
      </c>
      <c r="L43" s="56">
        <v>240000</v>
      </c>
      <c r="M43" s="57">
        <v>210150.42</v>
      </c>
      <c r="N43" s="55">
        <v>255000</v>
      </c>
      <c r="O43" s="56">
        <v>240000</v>
      </c>
      <c r="P43" s="57">
        <v>245911.42</v>
      </c>
      <c r="Q43" s="1">
        <v>983000</v>
      </c>
      <c r="R43" s="1">
        <v>938000</v>
      </c>
      <c r="S43" s="89">
        <v>796187.41</v>
      </c>
      <c r="T43" s="1">
        <v>0</v>
      </c>
      <c r="U43" s="144">
        <v>137835</v>
      </c>
      <c r="V43" s="144">
        <v>71021</v>
      </c>
      <c r="W43" s="144">
        <v>14065.58</v>
      </c>
      <c r="X43" s="48">
        <v>71453.23</v>
      </c>
      <c r="Y43">
        <v>62885.700000000004</v>
      </c>
      <c r="Z43">
        <v>57415.689999999995</v>
      </c>
      <c r="AA43">
        <v>37960.61</v>
      </c>
      <c r="AB43">
        <v>39203.089999999997</v>
      </c>
      <c r="AC43">
        <v>71207.25</v>
      </c>
      <c r="AD43">
        <v>56803.05</v>
      </c>
      <c r="AE43">
        <v>83210.960000000006</v>
      </c>
      <c r="AF43">
        <v>70136.41</v>
      </c>
      <c r="AG43">
        <v>106722.12999999999</v>
      </c>
      <c r="AH43">
        <v>72711.38</v>
      </c>
      <c r="AI43">
        <v>66477.91</v>
      </c>
    </row>
    <row r="44" spans="1:35">
      <c r="A44" s="155" t="s">
        <v>148</v>
      </c>
      <c r="B44" s="50">
        <f t="shared" ref="B44:M44" si="13">B17</f>
        <v>83611</v>
      </c>
      <c r="C44" s="50">
        <f t="shared" si="13"/>
        <v>83611</v>
      </c>
      <c r="D44" s="50">
        <f t="shared" si="13"/>
        <v>73264</v>
      </c>
      <c r="E44" s="50">
        <f t="shared" si="13"/>
        <v>83611</v>
      </c>
      <c r="F44" s="50">
        <f t="shared" si="13"/>
        <v>83611</v>
      </c>
      <c r="G44" s="50">
        <f t="shared" si="13"/>
        <v>23531.63</v>
      </c>
      <c r="H44" s="50">
        <f t="shared" si="13"/>
        <v>29300.63</v>
      </c>
      <c r="I44" s="50">
        <f t="shared" si="13"/>
        <v>29300.63</v>
      </c>
      <c r="J44" s="50">
        <f t="shared" si="13"/>
        <v>23269.996000000003</v>
      </c>
      <c r="K44" s="49">
        <f t="shared" si="13"/>
        <v>29300.63</v>
      </c>
      <c r="L44" s="50">
        <f t="shared" si="13"/>
        <v>29300.63</v>
      </c>
      <c r="M44" s="51">
        <f t="shared" si="13"/>
        <v>1200.6300000000001</v>
      </c>
      <c r="N44" s="50"/>
      <c r="O44" s="50"/>
      <c r="P44" s="50"/>
      <c r="Q44" s="9"/>
      <c r="R44" s="9"/>
      <c r="S44" s="87"/>
      <c r="U44" s="144">
        <f>'Sheet 17'!U17+'sheet 11'!U17 +Process!U17+Instruments!U17</f>
        <v>4199.1899999999996</v>
      </c>
      <c r="V44" s="144">
        <f>'Sheet 17'!V17+'sheet 11'!V17 +Process!V17+Instruments!V17</f>
        <v>4.1721808331696939E+38</v>
      </c>
      <c r="W44" s="144">
        <f>'Sheet 17'!W17+'sheet 11'!W17 +Process!W17+Instruments!W17</f>
        <v>5284.179000000001</v>
      </c>
      <c r="X44" s="48">
        <f>'Sheet 17'!X17+'sheet 11'!X17 +Process!X17+Instruments!X17</f>
        <v>346904.95800000004</v>
      </c>
      <c r="Y44">
        <f>'Sheet 17'!Y17+'sheet 11'!Y17 +Process!Y17+Instruments!Y17</f>
        <v>5975.1</v>
      </c>
      <c r="Z44">
        <f>'Sheet 17'!Z17+'sheet 11'!Z17 +Process!Z17+Instruments!Z17</f>
        <v>6465.9000000000005</v>
      </c>
      <c r="AA44">
        <f>'Sheet 17'!AA17+'sheet 11'!AA17 +Process!AA17+Instruments!AA17</f>
        <v>6972.9000000000005</v>
      </c>
      <c r="AB44">
        <f>'Sheet 17'!AB17+'sheet 11'!AB17 +Process!AB17+Instruments!AB17</f>
        <v>7138.4759999999997</v>
      </c>
      <c r="AC44">
        <f>'Sheet 17'!AC17+'sheet 11'!AC17 +Process!AC17+Instruments!AC17</f>
        <v>7504.2000000000007</v>
      </c>
      <c r="AD44">
        <f>'Sheet 17'!AD17+'sheet 11'!AD17 +Process!AD17+Instruments!AD17</f>
        <v>7384.1009999999997</v>
      </c>
      <c r="AE44">
        <f>'Sheet 17'!AE17+'sheet 11'!AE17 +Process!AE17+Instruments!AE17</f>
        <v>7890.6</v>
      </c>
      <c r="AF44">
        <f>'Sheet 17'!AF17+'sheet 11'!AF17 +Process!AF17+Instruments!AF17</f>
        <v>7478.7390000000014</v>
      </c>
      <c r="AG44">
        <f>'Sheet 17'!AG17+'sheet 11'!AG17 +Process!AG17+Instruments!AG17</f>
        <v>8072.8380000000006</v>
      </c>
      <c r="AH44">
        <f>'Sheet 17'!AH17+'sheet 11'!AH17 +Process!AH17+Instruments!AH17</f>
        <v>8485.527</v>
      </c>
      <c r="AI44">
        <f>'Sheet 17'!AI17+'sheet 11'!AI17 +Process!AI17+Instruments!AI17</f>
        <v>4446.1320000000005</v>
      </c>
    </row>
    <row r="45" spans="1:35" s="1" customFormat="1">
      <c r="A45" s="156" t="s">
        <v>149</v>
      </c>
      <c r="B45" s="55">
        <f t="array" ref="B45:R45">Information!$B$17:$R$17</f>
        <v>75000</v>
      </c>
      <c r="C45" s="56">
        <v>70000</v>
      </c>
      <c r="D45" s="57">
        <v>67744.78</v>
      </c>
      <c r="E45" s="55">
        <v>75000</v>
      </c>
      <c r="F45" s="56">
        <v>70000</v>
      </c>
      <c r="G45" s="57">
        <v>65678.959999999992</v>
      </c>
      <c r="H45" s="55">
        <v>75000</v>
      </c>
      <c r="I45" s="56">
        <v>70000</v>
      </c>
      <c r="J45" s="57">
        <v>72051.92</v>
      </c>
      <c r="K45" s="78">
        <v>75000</v>
      </c>
      <c r="L45" s="32">
        <v>70000</v>
      </c>
      <c r="M45" s="130">
        <v>75844.800000000003</v>
      </c>
      <c r="N45" s="55">
        <v>75000</v>
      </c>
      <c r="O45" s="56">
        <v>70000</v>
      </c>
      <c r="P45" s="57">
        <v>70014.990000000005</v>
      </c>
      <c r="Q45" s="24">
        <v>300000</v>
      </c>
      <c r="R45" s="1">
        <v>280000</v>
      </c>
      <c r="S45" s="89"/>
      <c r="U45" s="144">
        <f t="array" ref="U45:AI45">Information!$U$17:$AI$17</f>
        <v>25274.1</v>
      </c>
      <c r="V45" s="144">
        <v>24856.75</v>
      </c>
      <c r="W45" s="144">
        <v>17613.93</v>
      </c>
      <c r="X45" s="48">
        <v>24208.959999999999</v>
      </c>
      <c r="Y45">
        <v>19917</v>
      </c>
      <c r="Z45">
        <v>21553</v>
      </c>
      <c r="AA45">
        <v>23243</v>
      </c>
      <c r="AB45">
        <v>23794.92</v>
      </c>
      <c r="AC45">
        <v>25014</v>
      </c>
      <c r="AD45">
        <v>24613.67</v>
      </c>
      <c r="AE45">
        <v>26302</v>
      </c>
      <c r="AF45">
        <v>24929.13</v>
      </c>
      <c r="AG45">
        <v>26909.46</v>
      </c>
      <c r="AH45">
        <v>28285.09</v>
      </c>
      <c r="AI45">
        <v>14820.44</v>
      </c>
    </row>
    <row r="46" spans="1:35">
      <c r="A46" s="155" t="s">
        <v>216</v>
      </c>
      <c r="B46" s="49">
        <f t="shared" ref="B46:P46" si="14">B19</f>
        <v>58200</v>
      </c>
      <c r="C46" s="50">
        <f t="shared" si="14"/>
        <v>58200</v>
      </c>
      <c r="D46" s="51">
        <f t="shared" si="14"/>
        <v>76562</v>
      </c>
      <c r="E46" s="49">
        <f t="shared" si="14"/>
        <v>58200</v>
      </c>
      <c r="F46" s="50">
        <f t="shared" si="14"/>
        <v>58200</v>
      </c>
      <c r="G46" s="51">
        <f t="shared" si="14"/>
        <v>17635</v>
      </c>
      <c r="H46" s="49">
        <f t="shared" si="14"/>
        <v>20400.63</v>
      </c>
      <c r="I46" s="50">
        <f t="shared" si="14"/>
        <v>20400.63</v>
      </c>
      <c r="J46" s="51" t="e">
        <f t="shared" si="14"/>
        <v>#REF!</v>
      </c>
      <c r="K46" s="49">
        <f t="shared" si="14"/>
        <v>20400.63</v>
      </c>
      <c r="L46" s="50">
        <f t="shared" si="14"/>
        <v>20400.63</v>
      </c>
      <c r="M46" s="51" t="e">
        <f t="shared" si="14"/>
        <v>#REF!</v>
      </c>
      <c r="N46" s="49">
        <f t="shared" si="14"/>
        <v>20400.63</v>
      </c>
      <c r="O46" s="50">
        <f t="shared" si="14"/>
        <v>20400.63</v>
      </c>
      <c r="P46" s="51">
        <f t="shared" si="14"/>
        <v>1000.63</v>
      </c>
      <c r="Q46" s="50"/>
      <c r="R46" s="50"/>
      <c r="S46" s="92"/>
      <c r="U46" s="144">
        <f>'Sheet 17'!U19+'sheet 11'!U19 +Process!U19+Instruments!U19</f>
        <v>6499.3440000000001</v>
      </c>
      <c r="V46" s="144">
        <f>'Sheet 17'!V19+'sheet 11'!V19 +Process!V19+Instruments!V19</f>
        <v>4.1721808331696939E+38</v>
      </c>
      <c r="W46" s="144">
        <f>'Sheet 17'!W19+'sheet 11'!W19 +Process!W19+Instruments!W19</f>
        <v>7216.4400000000005</v>
      </c>
      <c r="X46" s="48">
        <f>'Sheet 17'!X19+'sheet 11'!X19 +Process!X19+Instruments!X19</f>
        <v>344195.24100000004</v>
      </c>
      <c r="Y46">
        <f>'Sheet 17'!Y19+'sheet 11'!Y19 +Process!Y19+Instruments!Y19</f>
        <v>8320.9140000000007</v>
      </c>
      <c r="Z46">
        <f>'Sheet 17'!Z19+'sheet 11'!Z19 +Process!Z19+Instruments!Z19</f>
        <v>1443.309</v>
      </c>
      <c r="AA46">
        <f>'Sheet 17'!AA19+'sheet 11'!AA19 +Process!AA19+Instruments!AA19</f>
        <v>5468.9078</v>
      </c>
      <c r="AB46">
        <f>'Sheet 17'!AB19+'sheet 11'!AB19 +Process!AB19+Instruments!AB19</f>
        <v>4871.9070000000002</v>
      </c>
      <c r="AC46">
        <f>'Sheet 17'!AC19+'sheet 11'!AC19 +Process!AC19+Instruments!AC19</f>
        <v>3272.6100000000006</v>
      </c>
      <c r="AD46">
        <f>'Sheet 17'!AD19+'sheet 11'!AD19 +Process!AD19+Instruments!AD19</f>
        <v>1693.6020000000003</v>
      </c>
      <c r="AE46">
        <f>'Sheet 17'!AE19+'sheet 11'!AE19 +Process!AE19+Instruments!AE19</f>
        <v>2248.1489999999999</v>
      </c>
      <c r="AF46">
        <f>'Sheet 17'!AF19+'sheet 11'!AF19 +Process!AF19+Instruments!AF19</f>
        <v>1964.1090000000002</v>
      </c>
      <c r="AG46">
        <f>'Sheet 17'!AG19+'sheet 11'!AG19 +Process!AG19+Instruments!AG19</f>
        <v>4775.0280000000002</v>
      </c>
      <c r="AH46">
        <f>'Sheet 17'!AH19+'sheet 11'!AH19 +Process!AH19+Instruments!AH19</f>
        <v>2879.1</v>
      </c>
      <c r="AI46">
        <f>'Sheet 17'!AI19+'sheet 11'!AI19 +Process!AI19+Instruments!AI19</f>
        <v>4647.6000000000004</v>
      </c>
    </row>
    <row r="47" spans="1:35" s="56" customFormat="1">
      <c r="A47" s="156" t="s">
        <v>151</v>
      </c>
      <c r="B47" s="1">
        <f t="array" ref="B47:P47">Admin!$B$19:$O$19</f>
        <v>96750</v>
      </c>
      <c r="C47" s="1">
        <v>72750</v>
      </c>
      <c r="D47" s="1">
        <v>87454.82</v>
      </c>
      <c r="E47" s="1">
        <v>52500</v>
      </c>
      <c r="F47" s="1">
        <v>48000</v>
      </c>
      <c r="G47" s="1">
        <v>47723.979999999996</v>
      </c>
      <c r="H47" s="1">
        <v>52500</v>
      </c>
      <c r="I47" s="1">
        <v>48000</v>
      </c>
      <c r="J47" s="1">
        <v>45378.649999999994</v>
      </c>
      <c r="K47" s="78">
        <v>52500</v>
      </c>
      <c r="L47" s="32">
        <v>48000</v>
      </c>
      <c r="M47" s="130">
        <v>19686.2</v>
      </c>
      <c r="N47" s="1">
        <v>52500</v>
      </c>
      <c r="O47" s="1">
        <v>48000</v>
      </c>
      <c r="P47" s="1" t="e">
        <v>#N/A</v>
      </c>
      <c r="Q47" s="77"/>
      <c r="S47" s="93"/>
      <c r="U47" s="129">
        <f t="array" ref="U47:AI47">Admin!$U$19:$AI$19</f>
        <v>32941.279999999999</v>
      </c>
      <c r="V47" s="129">
        <v>30458.74</v>
      </c>
      <c r="W47" s="129">
        <v>24054.799999999999</v>
      </c>
      <c r="X47" s="56">
        <v>15176.57</v>
      </c>
      <c r="Y47" s="1">
        <v>27736.38</v>
      </c>
      <c r="Z47" s="1">
        <v>4811.03</v>
      </c>
      <c r="AA47" s="1">
        <v>18230.259999999998</v>
      </c>
      <c r="AB47" s="1">
        <v>16239.69</v>
      </c>
      <c r="AC47" s="1">
        <v>10908.7</v>
      </c>
      <c r="AD47">
        <v>5645.34</v>
      </c>
      <c r="AE47">
        <v>7493.83</v>
      </c>
      <c r="AF47">
        <v>6547.03</v>
      </c>
      <c r="AG47">
        <v>15916.759999999998</v>
      </c>
      <c r="AH47">
        <v>9597</v>
      </c>
      <c r="AI47">
        <v>15492</v>
      </c>
    </row>
    <row r="48" spans="1:35" s="48" customFormat="1">
      <c r="A48" s="160" t="s">
        <v>152</v>
      </c>
      <c r="B48" s="49">
        <f t="shared" ref="B48:Q49" si="15">B42+B44+B46</f>
        <v>356955</v>
      </c>
      <c r="C48" s="50">
        <f t="shared" si="15"/>
        <v>356955</v>
      </c>
      <c r="D48" s="51">
        <f t="shared" si="15"/>
        <v>362512</v>
      </c>
      <c r="E48" s="49">
        <f t="shared" si="15"/>
        <v>356955</v>
      </c>
      <c r="F48" s="50">
        <f t="shared" si="15"/>
        <v>356955</v>
      </c>
      <c r="G48" s="51">
        <f t="shared" si="15"/>
        <v>108864.26000000001</v>
      </c>
      <c r="H48" s="49">
        <f t="shared" si="15"/>
        <v>136997.89000000001</v>
      </c>
      <c r="I48" s="50">
        <f t="shared" si="15"/>
        <v>136997.89000000001</v>
      </c>
      <c r="J48" s="51" t="e">
        <f t="shared" si="15"/>
        <v>#REF!</v>
      </c>
      <c r="K48" s="49">
        <f t="shared" si="15"/>
        <v>136997.89000000001</v>
      </c>
      <c r="L48" s="50">
        <f t="shared" si="15"/>
        <v>136997.89000000001</v>
      </c>
      <c r="M48" s="51" t="e">
        <f t="shared" si="15"/>
        <v>#REF!</v>
      </c>
      <c r="N48" s="49">
        <f t="shared" si="15"/>
        <v>110997.26000000001</v>
      </c>
      <c r="O48" s="50">
        <f t="shared" si="15"/>
        <v>110997.26000000001</v>
      </c>
      <c r="P48" s="51">
        <f t="shared" si="15"/>
        <v>3501.26</v>
      </c>
      <c r="Q48" s="50"/>
      <c r="R48" s="50"/>
      <c r="S48" s="92"/>
      <c r="U48" s="232">
        <f>U42+U44+U46</f>
        <v>48665.994000000006</v>
      </c>
      <c r="V48" s="232">
        <f t="shared" ref="V48:Z49" si="16">V42+V44+V46</f>
        <v>1.2516542499509082E+39</v>
      </c>
      <c r="W48" s="232">
        <f t="shared" si="16"/>
        <v>16720.293000000005</v>
      </c>
      <c r="X48" s="209">
        <f t="shared" si="16"/>
        <v>1052178.4380000001</v>
      </c>
      <c r="Y48" s="209">
        <f t="shared" si="16"/>
        <v>33161.724000000002</v>
      </c>
      <c r="Z48" s="209">
        <f t="shared" si="16"/>
        <v>25133.916000000005</v>
      </c>
      <c r="AA48" s="209"/>
      <c r="AB48" s="209"/>
      <c r="AC48" s="209"/>
      <c r="AD48" s="209"/>
      <c r="AE48" s="209"/>
      <c r="AF48" s="209"/>
      <c r="AG48" s="209"/>
      <c r="AH48" s="209"/>
      <c r="AI48" s="209"/>
    </row>
    <row r="49" spans="1:35" s="1" customFormat="1">
      <c r="A49" s="172" t="s">
        <v>153</v>
      </c>
      <c r="B49" s="78">
        <f t="shared" si="15"/>
        <v>426023</v>
      </c>
      <c r="C49" s="32">
        <f t="shared" ref="C49:R49" si="17">C43+C45+C47</f>
        <v>391937.54000000004</v>
      </c>
      <c r="D49" s="130">
        <f t="shared" si="17"/>
        <v>378121.18</v>
      </c>
      <c r="E49" s="78">
        <f t="shared" si="15"/>
        <v>345500</v>
      </c>
      <c r="F49" s="32">
        <f t="shared" si="17"/>
        <v>336000</v>
      </c>
      <c r="G49" s="130">
        <f t="shared" si="17"/>
        <v>305157.56</v>
      </c>
      <c r="H49" s="78">
        <f t="shared" si="15"/>
        <v>382500</v>
      </c>
      <c r="I49" s="32">
        <f t="shared" si="17"/>
        <v>358000</v>
      </c>
      <c r="J49" s="130">
        <f t="shared" si="17"/>
        <v>265801.52</v>
      </c>
      <c r="K49" s="78">
        <f t="shared" si="15"/>
        <v>382500</v>
      </c>
      <c r="L49" s="32">
        <f t="shared" si="17"/>
        <v>358000</v>
      </c>
      <c r="M49" s="130">
        <f t="shared" si="17"/>
        <v>305681.42000000004</v>
      </c>
      <c r="N49" s="78">
        <f t="shared" si="15"/>
        <v>382500</v>
      </c>
      <c r="O49" s="32">
        <f t="shared" si="17"/>
        <v>358000</v>
      </c>
      <c r="P49" s="130" t="e">
        <f t="shared" si="17"/>
        <v>#N/A</v>
      </c>
      <c r="Q49" s="78">
        <f t="shared" si="15"/>
        <v>1283000</v>
      </c>
      <c r="R49" s="32">
        <f t="shared" si="17"/>
        <v>1218000</v>
      </c>
      <c r="S49" s="130">
        <f>S43+S45+S47</f>
        <v>796187.41</v>
      </c>
      <c r="U49" s="232">
        <f>U43+U45+U47</f>
        <v>196050.38</v>
      </c>
      <c r="V49" s="232">
        <f t="shared" si="16"/>
        <v>126336.49</v>
      </c>
      <c r="W49" s="232">
        <f t="shared" si="16"/>
        <v>55734.31</v>
      </c>
      <c r="X49" s="233">
        <f t="shared" si="16"/>
        <v>110838.76000000001</v>
      </c>
      <c r="Y49" s="233">
        <f t="shared" si="16"/>
        <v>110539.08000000002</v>
      </c>
      <c r="Z49" s="233">
        <f t="shared" si="16"/>
        <v>83779.72</v>
      </c>
      <c r="AA49" s="209"/>
      <c r="AB49" s="209"/>
      <c r="AC49" s="209"/>
      <c r="AD49" s="209"/>
      <c r="AE49" s="209"/>
      <c r="AF49" s="209"/>
      <c r="AG49" s="209"/>
      <c r="AH49" s="209"/>
      <c r="AI49" s="209"/>
    </row>
    <row r="50" spans="1:35" s="135" customFormat="1">
      <c r="A50" s="173" t="s">
        <v>154</v>
      </c>
      <c r="B50" s="131">
        <f>B48-B49</f>
        <v>-69068</v>
      </c>
      <c r="C50" s="132">
        <f t="shared" ref="C50:R50" si="18">C48-C49</f>
        <v>-34982.540000000037</v>
      </c>
      <c r="D50" s="133">
        <f t="shared" si="18"/>
        <v>-15609.179999999993</v>
      </c>
      <c r="E50" s="131">
        <f t="shared" si="18"/>
        <v>11455</v>
      </c>
      <c r="F50" s="132">
        <f t="shared" si="18"/>
        <v>20955</v>
      </c>
      <c r="G50" s="133">
        <f t="shared" si="18"/>
        <v>-196293.3</v>
      </c>
      <c r="H50" s="131">
        <f t="shared" si="18"/>
        <v>-245502.11</v>
      </c>
      <c r="I50" s="132">
        <f t="shared" si="18"/>
        <v>-221002.11</v>
      </c>
      <c r="J50" s="133" t="e">
        <f t="shared" si="18"/>
        <v>#REF!</v>
      </c>
      <c r="K50" s="131">
        <f t="shared" si="18"/>
        <v>-245502.11</v>
      </c>
      <c r="L50" s="132">
        <f t="shared" si="18"/>
        <v>-221002.11</v>
      </c>
      <c r="M50" s="133" t="e">
        <f t="shared" si="18"/>
        <v>#REF!</v>
      </c>
      <c r="N50" s="131">
        <f t="shared" si="18"/>
        <v>-271502.74</v>
      </c>
      <c r="O50" s="132">
        <f t="shared" si="18"/>
        <v>-247002.74</v>
      </c>
      <c r="P50" s="133" t="e">
        <f t="shared" si="18"/>
        <v>#N/A</v>
      </c>
      <c r="Q50" s="132">
        <f t="shared" si="18"/>
        <v>-1283000</v>
      </c>
      <c r="R50" s="132">
        <f t="shared" si="18"/>
        <v>-1218000</v>
      </c>
      <c r="S50" s="134">
        <f t="shared" ref="S50:AH50" si="19">S48-S49</f>
        <v>-796187.41</v>
      </c>
      <c r="U50" s="231">
        <f t="shared" si="19"/>
        <v>-147384.386</v>
      </c>
      <c r="V50" s="231">
        <f t="shared" si="19"/>
        <v>1.2516542499509082E+39</v>
      </c>
      <c r="W50" s="231">
        <f t="shared" si="19"/>
        <v>-39014.016999999993</v>
      </c>
      <c r="X50" s="135">
        <f t="shared" si="19"/>
        <v>941339.67800000007</v>
      </c>
      <c r="Y50" s="135">
        <f t="shared" si="19"/>
        <v>-77377.356000000014</v>
      </c>
      <c r="Z50" s="135">
        <f t="shared" si="19"/>
        <v>-58645.803999999996</v>
      </c>
      <c r="AA50" s="135">
        <f t="shared" si="19"/>
        <v>0</v>
      </c>
      <c r="AB50" s="135">
        <f t="shared" si="19"/>
        <v>0</v>
      </c>
      <c r="AC50" s="135">
        <f t="shared" si="19"/>
        <v>0</v>
      </c>
      <c r="AD50" s="135">
        <f t="shared" si="19"/>
        <v>0</v>
      </c>
      <c r="AE50" s="135">
        <f t="shared" si="19"/>
        <v>0</v>
      </c>
      <c r="AF50" s="135">
        <f t="shared" si="19"/>
        <v>0</v>
      </c>
      <c r="AG50" s="135">
        <f t="shared" si="19"/>
        <v>0</v>
      </c>
      <c r="AH50" s="135">
        <f t="shared" si="19"/>
        <v>0</v>
      </c>
      <c r="AI50" s="135">
        <f>AI48-AI49</f>
        <v>0</v>
      </c>
    </row>
    <row r="51" spans="1:35">
      <c r="A51" s="174" t="s">
        <v>155</v>
      </c>
      <c r="B51" s="8"/>
      <c r="C51" s="9"/>
      <c r="D51" s="10"/>
      <c r="E51" s="8"/>
      <c r="F51" s="9"/>
      <c r="G51" s="10"/>
      <c r="H51" s="8"/>
      <c r="I51" s="9"/>
      <c r="J51" s="10"/>
      <c r="K51" s="8"/>
      <c r="L51" s="9"/>
      <c r="M51" s="10"/>
      <c r="N51" s="8"/>
      <c r="O51" s="9"/>
      <c r="P51" s="10"/>
      <c r="Q51" s="9"/>
      <c r="R51" s="9"/>
      <c r="S51" s="87"/>
    </row>
    <row r="52" spans="1:35">
      <c r="A52" s="169" t="s">
        <v>156</v>
      </c>
      <c r="B52" s="8">
        <f>'Sheet 17'!B36+'sheet 11'!B37+Process!B34+Instruments!B34+Finance!B52+Information!B52+Admin!B52</f>
        <v>7</v>
      </c>
      <c r="C52" s="9"/>
      <c r="D52" s="10"/>
      <c r="E52" s="8"/>
      <c r="F52" s="9"/>
      <c r="G52" s="10"/>
      <c r="H52" s="8"/>
      <c r="I52" s="9"/>
      <c r="J52" s="10"/>
      <c r="K52" s="8"/>
      <c r="L52" s="9"/>
      <c r="M52" s="10"/>
      <c r="N52" s="8"/>
      <c r="O52" s="9"/>
      <c r="P52" s="10"/>
      <c r="Q52" s="9"/>
      <c r="R52" s="9"/>
      <c r="S52" s="87"/>
    </row>
    <row r="53" spans="1:35">
      <c r="A53" s="169" t="s">
        <v>157</v>
      </c>
      <c r="B53" s="8">
        <f>'Sheet 17'!B37+'sheet 11'!B38+Process!B35+Instruments!B35+Finance!B53+Information!B53+Admin!B53</f>
        <v>0</v>
      </c>
      <c r="C53" s="9"/>
      <c r="D53" s="10"/>
      <c r="E53" s="8"/>
      <c r="F53" s="9"/>
      <c r="G53" s="10"/>
      <c r="H53" s="8"/>
      <c r="I53" s="9"/>
      <c r="J53" s="10"/>
      <c r="K53" s="8"/>
      <c r="L53" s="9"/>
      <c r="M53" s="10"/>
      <c r="N53" s="8"/>
      <c r="O53" s="9"/>
      <c r="P53" s="10"/>
      <c r="Q53" s="9"/>
      <c r="R53" s="9"/>
      <c r="S53" s="87"/>
    </row>
    <row r="54" spans="1:35">
      <c r="A54" s="169" t="s">
        <v>158</v>
      </c>
      <c r="B54" s="8">
        <f>'Sheet 17'!B38+'sheet 11'!B39+Process!B36+Instruments!B36+Finance!B54+Information!B54+Admin!B54</f>
        <v>1</v>
      </c>
      <c r="C54" s="9"/>
      <c r="D54" s="10"/>
      <c r="E54" s="8"/>
      <c r="F54" s="9"/>
      <c r="G54" s="10"/>
      <c r="H54" s="8"/>
      <c r="I54" s="9"/>
      <c r="J54" s="10"/>
      <c r="K54" s="8"/>
      <c r="L54" s="9"/>
      <c r="M54" s="10"/>
      <c r="N54" s="8"/>
      <c r="O54" s="9"/>
      <c r="P54" s="10"/>
      <c r="Q54" s="9"/>
      <c r="R54" s="9"/>
      <c r="S54" s="87"/>
    </row>
    <row r="55" spans="1:35">
      <c r="A55" s="169" t="s">
        <v>180</v>
      </c>
      <c r="B55" s="8">
        <f>'Sheet 17'!B39+'sheet 11'!B40+Process!B37+Instruments!B37+Finance!B55+Information!B55+Admin!B55</f>
        <v>1</v>
      </c>
      <c r="C55" s="9"/>
      <c r="D55" s="10"/>
      <c r="E55" s="8"/>
      <c r="F55" s="9"/>
      <c r="G55" s="10"/>
      <c r="H55" s="8"/>
      <c r="I55" s="9"/>
      <c r="J55" s="10"/>
      <c r="K55" s="8"/>
      <c r="L55" s="9"/>
      <c r="M55" s="10"/>
      <c r="N55" s="8"/>
      <c r="O55" s="9"/>
      <c r="P55" s="10"/>
      <c r="Q55" s="9"/>
      <c r="R55" s="9"/>
      <c r="S55" s="87"/>
    </row>
    <row r="56" spans="1:35">
      <c r="A56" s="152" t="s">
        <v>160</v>
      </c>
      <c r="B56" s="8">
        <f>'Sheet 17'!B40+'sheet 11'!B41+Process!B38+Instruments!B38+Finance!B56+Information!B56+Admin!B56</f>
        <v>1</v>
      </c>
      <c r="C56" s="9"/>
      <c r="D56" s="10"/>
      <c r="E56" s="8"/>
      <c r="F56" s="9"/>
      <c r="G56" s="10"/>
      <c r="H56" s="8"/>
      <c r="I56" s="9"/>
      <c r="J56" s="10"/>
      <c r="K56" s="8"/>
      <c r="L56" s="9"/>
      <c r="M56" s="10"/>
      <c r="N56" s="8"/>
      <c r="O56" s="9"/>
      <c r="P56" s="10"/>
      <c r="Q56" s="9"/>
      <c r="R56" s="9"/>
      <c r="S56" s="87"/>
    </row>
    <row r="57" spans="1:35">
      <c r="A57" s="152" t="s">
        <v>161</v>
      </c>
      <c r="B57" s="8">
        <f>'Sheet 17'!B41+'sheet 11'!B42+Process!B39+Instruments!B39+Finance!B57+Information!B57+Admin!B57</f>
        <v>0</v>
      </c>
      <c r="C57" s="9"/>
      <c r="D57" s="10"/>
      <c r="E57" s="8"/>
      <c r="F57" s="9"/>
      <c r="G57" s="10"/>
      <c r="H57" s="8"/>
      <c r="I57" s="9"/>
      <c r="J57" s="10"/>
      <c r="K57" s="8"/>
      <c r="L57" s="9"/>
      <c r="M57" s="10"/>
      <c r="N57" s="8"/>
      <c r="O57" s="9"/>
      <c r="P57" s="10"/>
      <c r="Q57" s="9"/>
      <c r="R57" s="9"/>
      <c r="S57" s="87"/>
    </row>
    <row r="58" spans="1:35">
      <c r="A58" s="152" t="s">
        <v>162</v>
      </c>
      <c r="B58" s="8">
        <f>'Sheet 17'!B42+'sheet 11'!B43+Process!B40+Instruments!B40+Finance!B58+Information!B58+Admin!B58</f>
        <v>2</v>
      </c>
      <c r="C58" s="9"/>
      <c r="D58" s="10"/>
      <c r="E58" s="8"/>
      <c r="F58" s="9"/>
      <c r="G58" s="10"/>
      <c r="H58" s="8"/>
      <c r="I58" s="9"/>
      <c r="J58" s="10"/>
      <c r="K58" s="8"/>
      <c r="L58" s="9"/>
      <c r="M58" s="10"/>
      <c r="N58" s="8"/>
      <c r="O58" s="9"/>
      <c r="P58" s="10"/>
      <c r="Q58" s="9"/>
      <c r="R58" s="9"/>
      <c r="S58" s="87"/>
    </row>
    <row r="59" spans="1:35">
      <c r="A59" s="152" t="s">
        <v>163</v>
      </c>
      <c r="B59" s="8">
        <f>'Sheet 17'!B43+'sheet 11'!B44+Process!B41+Instruments!B41+Finance!B59+Information!B59+Admin!B59</f>
        <v>5</v>
      </c>
      <c r="C59" s="9"/>
      <c r="D59" s="10"/>
      <c r="E59" s="8"/>
      <c r="F59" s="9"/>
      <c r="G59" s="10"/>
      <c r="H59" s="8"/>
      <c r="I59" s="9"/>
      <c r="J59" s="10"/>
      <c r="K59" s="8"/>
      <c r="L59" s="9"/>
      <c r="M59" s="10"/>
      <c r="N59" s="8"/>
      <c r="O59" s="9"/>
      <c r="P59" s="10"/>
      <c r="Q59" s="9"/>
      <c r="R59" s="9"/>
      <c r="S59" s="87"/>
    </row>
    <row r="60" spans="1:35">
      <c r="A60" s="152" t="s">
        <v>87</v>
      </c>
      <c r="B60" s="8">
        <f>'Sheet 17'!B44+'sheet 11'!B45+Process!B42+Instruments!B42+Finance!B60+Information!B60+Admin!B60</f>
        <v>1</v>
      </c>
      <c r="C60" s="9"/>
      <c r="D60" s="10"/>
      <c r="E60" s="8"/>
      <c r="F60" s="9"/>
      <c r="G60" s="10"/>
      <c r="H60" s="8"/>
      <c r="I60" s="9"/>
      <c r="J60" s="10"/>
      <c r="K60" s="8"/>
      <c r="L60" s="9"/>
      <c r="M60" s="10"/>
      <c r="N60" s="8"/>
      <c r="O60" s="9"/>
      <c r="P60" s="10"/>
      <c r="Q60" s="9"/>
      <c r="R60" s="9"/>
      <c r="S60" s="87"/>
    </row>
    <row r="61" spans="1:35" ht="14" thickBot="1">
      <c r="A61" s="153" t="s">
        <v>164</v>
      </c>
      <c r="B61" s="12">
        <f>'Sheet 17'!B45+'sheet 11'!B46+Process!B43+Instruments!B43+Finance!B61+Information!B61+Admin!B61</f>
        <v>0</v>
      </c>
      <c r="C61" s="13"/>
      <c r="D61" s="14"/>
      <c r="E61" s="12"/>
      <c r="F61" s="13"/>
      <c r="G61" s="14"/>
      <c r="H61" s="12"/>
      <c r="I61" s="13"/>
      <c r="J61" s="14"/>
      <c r="K61" s="12"/>
      <c r="L61" s="13"/>
      <c r="M61" s="14"/>
      <c r="N61" s="12"/>
      <c r="O61" s="13"/>
      <c r="P61" s="14"/>
      <c r="Q61" s="13"/>
      <c r="R61" s="13"/>
      <c r="S61" s="96"/>
    </row>
    <row r="65" spans="1:18">
      <c r="A65" s="154" t="s">
        <v>114</v>
      </c>
      <c r="B65" s="26">
        <v>3990803</v>
      </c>
      <c r="C65" s="31">
        <v>4364086</v>
      </c>
      <c r="D65" s="38">
        <v>3629392.8119999999</v>
      </c>
      <c r="E65" s="26">
        <v>3576892</v>
      </c>
      <c r="F65" s="31">
        <v>4172958.1929824562</v>
      </c>
      <c r="G65" s="38">
        <v>1018664.48</v>
      </c>
      <c r="H65" s="26">
        <v>3919399</v>
      </c>
      <c r="I65" s="31">
        <v>4463053.1929824557</v>
      </c>
      <c r="J65" s="38">
        <v>0</v>
      </c>
      <c r="K65" s="26">
        <v>4030032</v>
      </c>
      <c r="L65" s="31">
        <v>4485440.421052631</v>
      </c>
      <c r="M65" s="38">
        <v>0</v>
      </c>
      <c r="N65" s="26">
        <v>4098643</v>
      </c>
      <c r="O65" s="31">
        <v>4520421.1929824557</v>
      </c>
      <c r="P65" s="38">
        <v>0</v>
      </c>
      <c r="Q65" s="26">
        <v>15624966</v>
      </c>
      <c r="R65" s="31">
        <v>17641873</v>
      </c>
    </row>
    <row r="66" spans="1:18">
      <c r="A66" s="155" t="s">
        <v>115</v>
      </c>
      <c r="B66" s="8"/>
      <c r="C66" s="9"/>
      <c r="D66" s="10"/>
      <c r="E66" s="8"/>
      <c r="F66" s="9"/>
      <c r="G66" s="10"/>
      <c r="H66" s="8"/>
      <c r="I66" s="9"/>
      <c r="J66" s="10"/>
      <c r="K66" s="8"/>
      <c r="L66" s="9"/>
      <c r="M66" s="10"/>
      <c r="N66" s="8"/>
      <c r="O66" s="9"/>
      <c r="P66" s="10"/>
      <c r="Q66" s="8"/>
      <c r="R66" s="9"/>
    </row>
    <row r="67" spans="1:18">
      <c r="A67" s="154" t="s">
        <v>116</v>
      </c>
      <c r="B67" s="26">
        <v>3209175</v>
      </c>
      <c r="C67" s="31">
        <v>3397582</v>
      </c>
      <c r="D67" s="38">
        <v>2914661.38</v>
      </c>
      <c r="E67" s="26">
        <v>2949625.586544557</v>
      </c>
      <c r="F67" s="31">
        <v>3211083.5622445126</v>
      </c>
      <c r="G67" s="38">
        <v>779068.92</v>
      </c>
      <c r="H67" s="26">
        <v>3086459.2637847969</v>
      </c>
      <c r="I67" s="31">
        <v>3299668.6922445125</v>
      </c>
      <c r="J67" s="38">
        <v>0</v>
      </c>
      <c r="K67" s="26">
        <v>3092150.8253789442</v>
      </c>
      <c r="L67" s="31">
        <v>3280140.0695476918</v>
      </c>
      <c r="M67" s="38">
        <v>0</v>
      </c>
      <c r="N67" s="26">
        <v>3139416.6074846541</v>
      </c>
      <c r="O67" s="31">
        <v>3296904.9422445125</v>
      </c>
      <c r="P67" s="38">
        <v>0</v>
      </c>
      <c r="Q67" s="26">
        <v>12267652.283192951</v>
      </c>
      <c r="R67" s="31">
        <v>13087797.26628123</v>
      </c>
    </row>
    <row r="68" spans="1:18">
      <c r="A68" s="156"/>
      <c r="B68" s="6"/>
      <c r="C68" s="1"/>
      <c r="D68" s="7"/>
      <c r="E68" s="6"/>
      <c r="F68" s="1"/>
      <c r="G68" s="7"/>
      <c r="H68" s="6"/>
      <c r="I68" s="1"/>
      <c r="J68" s="7"/>
      <c r="K68" s="6"/>
      <c r="L68" s="1"/>
      <c r="M68" s="7"/>
      <c r="N68" s="6"/>
      <c r="O68" s="1"/>
      <c r="P68" s="7"/>
      <c r="Q68" s="6"/>
      <c r="R68" s="1"/>
    </row>
    <row r="69" spans="1:18">
      <c r="A69" s="157" t="s">
        <v>117</v>
      </c>
      <c r="B69" s="35">
        <v>781628</v>
      </c>
      <c r="C69" s="32">
        <v>966504</v>
      </c>
      <c r="D69" s="36">
        <v>714731.43200000003</v>
      </c>
      <c r="E69" s="35">
        <v>627266.41345544299</v>
      </c>
      <c r="F69" s="32">
        <v>961874.63073794357</v>
      </c>
      <c r="G69" s="36">
        <v>239595.56</v>
      </c>
      <c r="H69" s="35">
        <v>832939.73621520307</v>
      </c>
      <c r="I69" s="32">
        <v>1163384.5007379432</v>
      </c>
      <c r="J69" s="36">
        <v>0</v>
      </c>
      <c r="K69" s="35">
        <v>937881.17462105583</v>
      </c>
      <c r="L69" s="32">
        <v>1205300.3515049391</v>
      </c>
      <c r="M69" s="36">
        <v>0</v>
      </c>
      <c r="N69" s="35">
        <v>959226.39251534594</v>
      </c>
      <c r="O69" s="32">
        <v>1223516.2507379432</v>
      </c>
      <c r="P69" s="36">
        <v>0</v>
      </c>
      <c r="Q69" s="35">
        <v>3357313.7168070488</v>
      </c>
      <c r="R69" s="32">
        <v>4554075.7337187696</v>
      </c>
    </row>
    <row r="70" spans="1:18">
      <c r="A70" s="152"/>
      <c r="B70" s="8"/>
      <c r="C70" s="9"/>
      <c r="D70" s="10"/>
      <c r="E70" s="8"/>
      <c r="F70" s="9"/>
      <c r="G70" s="10"/>
      <c r="H70" s="8"/>
      <c r="I70" s="9"/>
      <c r="J70" s="10"/>
      <c r="K70" s="8"/>
      <c r="L70" s="9"/>
      <c r="M70" s="10"/>
      <c r="N70" s="8"/>
      <c r="O70" s="9"/>
      <c r="P70" s="10"/>
      <c r="Q70" s="8"/>
      <c r="R70" s="9"/>
    </row>
    <row r="71" spans="1:18">
      <c r="A71" s="158" t="s">
        <v>59</v>
      </c>
      <c r="B71" s="8"/>
      <c r="C71" s="9">
        <v>0</v>
      </c>
      <c r="D71" s="10">
        <v>0</v>
      </c>
      <c r="E71" s="8">
        <v>0</v>
      </c>
      <c r="F71" s="9">
        <v>0</v>
      </c>
      <c r="G71" s="10">
        <v>0</v>
      </c>
      <c r="H71" s="8">
        <v>0</v>
      </c>
      <c r="I71" s="9">
        <v>0</v>
      </c>
      <c r="J71" s="10">
        <v>0</v>
      </c>
      <c r="K71" s="8">
        <v>0</v>
      </c>
      <c r="L71" s="9">
        <v>0</v>
      </c>
      <c r="M71" s="10">
        <v>0</v>
      </c>
      <c r="N71" s="8">
        <v>0</v>
      </c>
      <c r="O71" s="9">
        <v>0</v>
      </c>
      <c r="P71" s="10">
        <v>0</v>
      </c>
      <c r="Q71" s="8"/>
      <c r="R71" s="9"/>
    </row>
    <row r="72" spans="1:18">
      <c r="A72" s="152"/>
      <c r="B72" s="106">
        <v>0</v>
      </c>
      <c r="C72" s="108">
        <v>0</v>
      </c>
      <c r="D72" s="107">
        <v>0</v>
      </c>
      <c r="E72" s="106">
        <v>0</v>
      </c>
      <c r="F72" s="108">
        <v>0</v>
      </c>
      <c r="G72" s="107">
        <v>0</v>
      </c>
      <c r="H72" s="106">
        <v>0</v>
      </c>
      <c r="I72" s="108">
        <v>0</v>
      </c>
      <c r="J72" s="107">
        <v>0</v>
      </c>
      <c r="K72" s="106">
        <v>0</v>
      </c>
      <c r="L72" s="108">
        <v>0</v>
      </c>
      <c r="M72" s="107">
        <v>0</v>
      </c>
      <c r="N72" s="106">
        <v>0</v>
      </c>
      <c r="O72" s="108">
        <v>0</v>
      </c>
      <c r="P72" s="107">
        <v>0</v>
      </c>
      <c r="Q72" s="106">
        <v>0</v>
      </c>
      <c r="R72" s="108">
        <v>0</v>
      </c>
    </row>
    <row r="73" spans="1:18">
      <c r="A73" s="159" t="s">
        <v>167</v>
      </c>
      <c r="B73" s="11">
        <v>0.97</v>
      </c>
      <c r="C73" s="40">
        <v>0.97</v>
      </c>
      <c r="D73" s="44">
        <v>0.97</v>
      </c>
      <c r="E73" s="11"/>
      <c r="F73" s="40"/>
      <c r="G73" s="44"/>
      <c r="H73" s="11">
        <v>0.97</v>
      </c>
      <c r="I73" s="40">
        <v>0.97</v>
      </c>
      <c r="J73" s="44"/>
      <c r="K73" s="11">
        <v>0.97</v>
      </c>
      <c r="L73" s="40">
        <v>0.97</v>
      </c>
      <c r="M73" s="44">
        <v>0.97</v>
      </c>
      <c r="N73" s="11">
        <v>0.97</v>
      </c>
      <c r="O73" s="40">
        <v>0.97</v>
      </c>
      <c r="P73" s="44">
        <v>0.97</v>
      </c>
      <c r="Q73" s="11">
        <v>0.97</v>
      </c>
      <c r="R73" s="40">
        <v>0.97</v>
      </c>
    </row>
    <row r="74" spans="1:18">
      <c r="A74" s="160" t="s">
        <v>118</v>
      </c>
      <c r="B74" s="49">
        <v>215144</v>
      </c>
      <c r="C74" s="50">
        <v>215144</v>
      </c>
      <c r="D74" s="51">
        <v>210186</v>
      </c>
      <c r="E74" s="49">
        <v>215144</v>
      </c>
      <c r="F74" s="50">
        <v>215144</v>
      </c>
      <c r="G74" s="51">
        <v>22150.6</v>
      </c>
      <c r="H74" s="49">
        <v>218444</v>
      </c>
      <c r="I74" s="50">
        <v>218444</v>
      </c>
      <c r="J74" s="51">
        <v>0</v>
      </c>
      <c r="K74" s="49">
        <v>218444</v>
      </c>
      <c r="L74" s="50">
        <v>218444</v>
      </c>
      <c r="M74" s="51">
        <v>0</v>
      </c>
      <c r="N74" s="49">
        <v>221744</v>
      </c>
      <c r="O74" s="50">
        <v>221744</v>
      </c>
      <c r="P74" s="51">
        <v>0</v>
      </c>
      <c r="Q74" s="49">
        <v>873776</v>
      </c>
      <c r="R74" s="50">
        <v>873776</v>
      </c>
    </row>
    <row r="75" spans="1:18">
      <c r="A75" s="160" t="s">
        <v>168</v>
      </c>
      <c r="B75" s="49">
        <v>0.97</v>
      </c>
      <c r="C75" s="50">
        <v>0.97</v>
      </c>
      <c r="D75" s="51">
        <v>0.97</v>
      </c>
      <c r="E75" s="49"/>
      <c r="F75" s="50"/>
      <c r="G75" s="51"/>
      <c r="H75" s="49"/>
      <c r="I75" s="50"/>
      <c r="J75" s="51"/>
      <c r="K75" s="49"/>
      <c r="L75" s="50"/>
      <c r="M75" s="51"/>
      <c r="N75" s="49"/>
      <c r="O75" s="50"/>
      <c r="P75" s="51"/>
      <c r="Q75" s="49"/>
      <c r="R75" s="50"/>
    </row>
    <row r="76" spans="1:18">
      <c r="A76" s="160" t="s">
        <v>119</v>
      </c>
      <c r="B76" s="49">
        <v>83611</v>
      </c>
      <c r="C76" s="50">
        <v>83611</v>
      </c>
      <c r="D76" s="51">
        <v>72064</v>
      </c>
      <c r="E76" s="49">
        <v>83611</v>
      </c>
      <c r="F76" s="50">
        <v>83611</v>
      </c>
      <c r="G76" s="51">
        <v>7504.27</v>
      </c>
      <c r="H76" s="49">
        <v>83611</v>
      </c>
      <c r="I76" s="50">
        <v>83611</v>
      </c>
      <c r="J76" s="51">
        <v>0</v>
      </c>
      <c r="K76" s="49">
        <v>83611</v>
      </c>
      <c r="L76" s="50">
        <v>83611</v>
      </c>
      <c r="M76" s="51">
        <v>0</v>
      </c>
      <c r="N76" s="49">
        <v>83611</v>
      </c>
      <c r="O76" s="50">
        <v>83611</v>
      </c>
      <c r="P76" s="51">
        <v>0</v>
      </c>
      <c r="Q76" s="49">
        <v>334444</v>
      </c>
      <c r="R76" s="50">
        <v>334444</v>
      </c>
    </row>
    <row r="77" spans="1:18">
      <c r="A77" s="160" t="s">
        <v>169</v>
      </c>
      <c r="B77" s="49">
        <v>0.97</v>
      </c>
      <c r="C77" s="50">
        <v>0.97</v>
      </c>
      <c r="D77" s="51">
        <v>0.97</v>
      </c>
      <c r="E77" s="49"/>
      <c r="F77" s="50"/>
      <c r="G77" s="51"/>
      <c r="H77" s="49"/>
      <c r="I77" s="50"/>
      <c r="J77" s="51"/>
      <c r="K77" s="49"/>
      <c r="L77" s="50"/>
      <c r="M77" s="51"/>
      <c r="N77" s="49"/>
      <c r="O77" s="50"/>
      <c r="P77" s="51"/>
      <c r="Q77" s="49"/>
      <c r="R77" s="50"/>
    </row>
    <row r="78" spans="1:18">
      <c r="A78" s="161" t="s">
        <v>120</v>
      </c>
      <c r="B78" s="55">
        <v>58200</v>
      </c>
      <c r="C78" s="56">
        <v>58200</v>
      </c>
      <c r="D78" s="57">
        <v>75562</v>
      </c>
      <c r="E78" s="55">
        <v>58200</v>
      </c>
      <c r="F78" s="56">
        <v>58200</v>
      </c>
      <c r="G78" s="57">
        <v>4705.3</v>
      </c>
      <c r="H78" s="55">
        <v>58200</v>
      </c>
      <c r="I78" s="56">
        <v>58200</v>
      </c>
      <c r="J78" s="57">
        <v>0</v>
      </c>
      <c r="K78" s="55">
        <v>58200</v>
      </c>
      <c r="L78" s="56">
        <v>58200</v>
      </c>
      <c r="M78" s="57">
        <v>0</v>
      </c>
      <c r="N78" s="55">
        <v>58200</v>
      </c>
      <c r="O78" s="56">
        <v>58200</v>
      </c>
      <c r="P78" s="57">
        <v>0</v>
      </c>
      <c r="Q78" s="55">
        <v>232800</v>
      </c>
      <c r="R78" s="56">
        <v>232800</v>
      </c>
    </row>
    <row r="79" spans="1:18">
      <c r="A79" s="205" t="s">
        <v>121</v>
      </c>
      <c r="B79" s="206">
        <v>356955</v>
      </c>
      <c r="C79" s="207">
        <v>356955</v>
      </c>
      <c r="D79" s="208">
        <v>357812</v>
      </c>
      <c r="E79" s="206">
        <v>356955</v>
      </c>
      <c r="F79" s="207">
        <v>356955</v>
      </c>
      <c r="G79" s="208">
        <v>34360.17</v>
      </c>
      <c r="H79" s="206">
        <v>360255</v>
      </c>
      <c r="I79" s="207">
        <v>360255</v>
      </c>
      <c r="J79" s="208">
        <v>0</v>
      </c>
      <c r="K79" s="206">
        <v>360255</v>
      </c>
      <c r="L79" s="207">
        <v>360255</v>
      </c>
      <c r="M79" s="208">
        <v>0</v>
      </c>
      <c r="N79" s="206">
        <v>363555</v>
      </c>
      <c r="O79" s="207">
        <v>363555</v>
      </c>
      <c r="P79" s="208">
        <v>0</v>
      </c>
      <c r="Q79" s="206">
        <v>1441020</v>
      </c>
      <c r="R79" s="207">
        <v>1441020</v>
      </c>
    </row>
    <row r="82" spans="1:18">
      <c r="A82" s="154" t="s">
        <v>114</v>
      </c>
      <c r="B82" s="48">
        <f>B65-B6</f>
        <v>-18112</v>
      </c>
      <c r="C82" s="48">
        <f t="shared" ref="C82:R88" si="20">C65-C6</f>
        <v>0</v>
      </c>
      <c r="D82" s="48">
        <f t="shared" si="20"/>
        <v>0</v>
      </c>
      <c r="E82" s="48">
        <f t="shared" si="20"/>
        <v>0</v>
      </c>
      <c r="F82" s="48">
        <f t="shared" si="20"/>
        <v>0</v>
      </c>
      <c r="G82" s="48">
        <f t="shared" si="20"/>
        <v>-948415.80000000028</v>
      </c>
      <c r="H82" s="48">
        <f t="shared" si="20"/>
        <v>0</v>
      </c>
      <c r="I82" s="48">
        <f t="shared" si="20"/>
        <v>0</v>
      </c>
      <c r="J82" s="48">
        <f t="shared" si="20"/>
        <v>-1444668.01</v>
      </c>
      <c r="K82" s="48">
        <f t="shared" si="20"/>
        <v>0</v>
      </c>
      <c r="L82" s="48">
        <f t="shared" si="20"/>
        <v>0</v>
      </c>
      <c r="M82" s="48">
        <f t="shared" si="20"/>
        <v>-1705363.3360000001</v>
      </c>
      <c r="N82" s="48">
        <f t="shared" si="20"/>
        <v>0</v>
      </c>
      <c r="O82" s="48">
        <f t="shared" si="20"/>
        <v>0</v>
      </c>
      <c r="P82" s="48">
        <f t="shared" si="20"/>
        <v>-1799190.92</v>
      </c>
      <c r="Q82" s="48">
        <f t="shared" si="20"/>
        <v>0</v>
      </c>
      <c r="R82" s="48">
        <f t="shared" si="20"/>
        <v>0</v>
      </c>
    </row>
    <row r="83" spans="1:18">
      <c r="A83" s="155" t="s">
        <v>115</v>
      </c>
    </row>
    <row r="84" spans="1:18">
      <c r="A84" s="154" t="s">
        <v>116</v>
      </c>
      <c r="B84" s="48">
        <f>B67-B8</f>
        <v>-33526.929999999702</v>
      </c>
      <c r="C84" s="48">
        <f t="shared" si="20"/>
        <v>0</v>
      </c>
      <c r="D84" s="48">
        <f t="shared" si="20"/>
        <v>0</v>
      </c>
      <c r="E84" s="48">
        <f t="shared" si="20"/>
        <v>0</v>
      </c>
      <c r="F84" s="48">
        <f t="shared" si="20"/>
        <v>0</v>
      </c>
      <c r="G84" s="48">
        <f t="shared" si="20"/>
        <v>-873326.07999999996</v>
      </c>
      <c r="H84" s="48">
        <f t="shared" si="20"/>
        <v>0</v>
      </c>
      <c r="I84" s="48">
        <f t="shared" si="20"/>
        <v>0</v>
      </c>
      <c r="J84" s="48">
        <f t="shared" si="20"/>
        <v>-1380429.5</v>
      </c>
      <c r="K84" s="48">
        <f t="shared" si="20"/>
        <v>0</v>
      </c>
      <c r="L84" s="48">
        <f t="shared" si="20"/>
        <v>0</v>
      </c>
      <c r="M84" s="48">
        <f t="shared" si="20"/>
        <v>-1446692.7140000002</v>
      </c>
      <c r="N84" s="48">
        <f t="shared" si="20"/>
        <v>0</v>
      </c>
      <c r="O84" s="48">
        <f t="shared" si="20"/>
        <v>0</v>
      </c>
      <c r="P84" s="48">
        <f t="shared" si="20"/>
        <v>-1297858.3200000003</v>
      </c>
      <c r="Q84" s="48">
        <f t="shared" si="20"/>
        <v>0</v>
      </c>
      <c r="R84" s="48">
        <f t="shared" si="20"/>
        <v>0</v>
      </c>
    </row>
    <row r="85" spans="1:18">
      <c r="A85" s="156"/>
    </row>
    <row r="86" spans="1:18">
      <c r="A86" s="157" t="s">
        <v>117</v>
      </c>
      <c r="B86" s="48">
        <f>B69-B10</f>
        <v>15414.929999999702</v>
      </c>
      <c r="C86" s="48">
        <f t="shared" si="20"/>
        <v>0</v>
      </c>
      <c r="D86" s="48">
        <f t="shared" si="20"/>
        <v>0</v>
      </c>
      <c r="E86" s="48">
        <f t="shared" si="20"/>
        <v>0</v>
      </c>
      <c r="F86" s="48">
        <f t="shared" si="20"/>
        <v>0</v>
      </c>
      <c r="G86" s="48">
        <f t="shared" si="20"/>
        <v>-75089.720000000263</v>
      </c>
      <c r="H86" s="48">
        <f t="shared" si="20"/>
        <v>0</v>
      </c>
      <c r="I86" s="48">
        <f t="shared" si="20"/>
        <v>0</v>
      </c>
      <c r="J86" s="48">
        <f t="shared" si="20"/>
        <v>-64238.510000000009</v>
      </c>
      <c r="K86" s="48">
        <f t="shared" si="20"/>
        <v>0</v>
      </c>
      <c r="L86" s="48">
        <f t="shared" si="20"/>
        <v>0</v>
      </c>
      <c r="M86" s="48">
        <f t="shared" si="20"/>
        <v>-258670.62199999997</v>
      </c>
      <c r="N86" s="48">
        <f t="shared" si="20"/>
        <v>0</v>
      </c>
      <c r="O86" s="48">
        <f t="shared" si="20"/>
        <v>0</v>
      </c>
      <c r="P86" s="48">
        <f t="shared" si="20"/>
        <v>-501332.59999999963</v>
      </c>
      <c r="Q86" s="48">
        <f t="shared" si="20"/>
        <v>0</v>
      </c>
      <c r="R86" s="48">
        <f t="shared" si="20"/>
        <v>0</v>
      </c>
    </row>
    <row r="87" spans="1:18">
      <c r="A87" s="152"/>
    </row>
    <row r="88" spans="1:18">
      <c r="A88" s="158" t="s">
        <v>59</v>
      </c>
      <c r="B88" s="48">
        <f>B71-B12</f>
        <v>0</v>
      </c>
      <c r="C88" s="48">
        <f t="shared" si="20"/>
        <v>0</v>
      </c>
      <c r="D88" s="48">
        <f t="shared" si="20"/>
        <v>0</v>
      </c>
      <c r="E88" s="48">
        <f t="shared" si="20"/>
        <v>0</v>
      </c>
      <c r="F88" s="48">
        <f t="shared" si="20"/>
        <v>0</v>
      </c>
      <c r="G88" s="48">
        <f t="shared" si="20"/>
        <v>0</v>
      </c>
      <c r="H88" s="48">
        <f t="shared" si="20"/>
        <v>0</v>
      </c>
      <c r="I88" s="48">
        <f t="shared" si="20"/>
        <v>0</v>
      </c>
      <c r="J88" s="48">
        <f t="shared" si="20"/>
        <v>0</v>
      </c>
      <c r="K88" s="48">
        <f t="shared" si="20"/>
        <v>0</v>
      </c>
      <c r="L88" s="48">
        <f t="shared" si="20"/>
        <v>0</v>
      </c>
      <c r="M88" s="48">
        <f t="shared" si="20"/>
        <v>0</v>
      </c>
      <c r="N88" s="48">
        <f t="shared" si="20"/>
        <v>0</v>
      </c>
      <c r="O88" s="48">
        <f t="shared" si="20"/>
        <v>0</v>
      </c>
      <c r="P88" s="48">
        <f t="shared" si="20"/>
        <v>0</v>
      </c>
      <c r="Q88" s="48">
        <f t="shared" si="20"/>
        <v>0</v>
      </c>
      <c r="R88" s="48">
        <f t="shared" si="20"/>
        <v>0</v>
      </c>
    </row>
    <row r="89" spans="1:18">
      <c r="A89" s="152"/>
    </row>
    <row r="90" spans="1:18">
      <c r="A90" s="159" t="s">
        <v>167</v>
      </c>
    </row>
    <row r="91" spans="1:18">
      <c r="A91" s="160" t="s">
        <v>118</v>
      </c>
      <c r="B91" s="48">
        <f>B74-B15</f>
        <v>0</v>
      </c>
      <c r="C91" s="48">
        <f t="shared" ref="C91:R91" si="21">C74-C15</f>
        <v>0</v>
      </c>
      <c r="D91" s="48">
        <f t="shared" si="21"/>
        <v>-2500</v>
      </c>
      <c r="E91" s="48">
        <f t="shared" si="21"/>
        <v>0</v>
      </c>
      <c r="F91" s="48">
        <f t="shared" si="21"/>
        <v>0</v>
      </c>
      <c r="G91" s="48">
        <f t="shared" si="21"/>
        <v>-45547.030000000006</v>
      </c>
      <c r="H91" s="48">
        <f t="shared" si="21"/>
        <v>131147.37</v>
      </c>
      <c r="I91" s="48">
        <f t="shared" si="21"/>
        <v>131147.37</v>
      </c>
      <c r="J91" s="48">
        <f t="shared" si="21"/>
        <v>-49490.260300000002</v>
      </c>
      <c r="K91" s="48">
        <f t="shared" si="21"/>
        <v>131147.37</v>
      </c>
      <c r="L91" s="48">
        <f t="shared" si="21"/>
        <v>131147.37</v>
      </c>
      <c r="M91" s="48">
        <f t="shared" si="21"/>
        <v>-2500.63</v>
      </c>
      <c r="N91" s="48">
        <f t="shared" si="21"/>
        <v>131147.37</v>
      </c>
      <c r="O91" s="48">
        <f t="shared" si="21"/>
        <v>131147.37</v>
      </c>
      <c r="P91" s="48">
        <f t="shared" si="21"/>
        <v>-2500.63</v>
      </c>
      <c r="Q91" s="48">
        <f t="shared" si="21"/>
        <v>393442.11</v>
      </c>
      <c r="R91" s="48">
        <f t="shared" si="21"/>
        <v>393442.11</v>
      </c>
    </row>
    <row r="92" spans="1:18">
      <c r="A92" s="160" t="s">
        <v>168</v>
      </c>
    </row>
    <row r="93" spans="1:18">
      <c r="A93" s="160" t="s">
        <v>119</v>
      </c>
      <c r="B93" s="48">
        <f>B76-B17</f>
        <v>0</v>
      </c>
      <c r="C93" s="48">
        <f t="shared" ref="C93:R93" si="22">C76-C17</f>
        <v>0</v>
      </c>
      <c r="D93" s="48">
        <f t="shared" si="22"/>
        <v>-1200</v>
      </c>
      <c r="E93" s="48">
        <f t="shared" si="22"/>
        <v>0</v>
      </c>
      <c r="F93" s="48">
        <f t="shared" si="22"/>
        <v>0</v>
      </c>
      <c r="G93" s="48">
        <f t="shared" si="22"/>
        <v>-16027.36</v>
      </c>
      <c r="H93" s="48">
        <f t="shared" si="22"/>
        <v>54310.369999999995</v>
      </c>
      <c r="I93" s="48">
        <f t="shared" si="22"/>
        <v>54310.369999999995</v>
      </c>
      <c r="J93" s="48">
        <f t="shared" si="22"/>
        <v>-23269.996000000003</v>
      </c>
      <c r="K93" s="48">
        <f t="shared" si="22"/>
        <v>54310.369999999995</v>
      </c>
      <c r="L93" s="48">
        <f t="shared" si="22"/>
        <v>54310.369999999995</v>
      </c>
      <c r="M93" s="48">
        <f t="shared" si="22"/>
        <v>-1200.6300000000001</v>
      </c>
      <c r="N93" s="48">
        <f t="shared" si="22"/>
        <v>54310.369999999995</v>
      </c>
      <c r="O93" s="48">
        <f t="shared" si="22"/>
        <v>54310.369999999995</v>
      </c>
      <c r="P93" s="48">
        <f t="shared" si="22"/>
        <v>-1200.6300000000001</v>
      </c>
      <c r="Q93" s="48">
        <f t="shared" si="22"/>
        <v>162931.10999999999</v>
      </c>
      <c r="R93" s="48">
        <f t="shared" si="22"/>
        <v>162931.10999999999</v>
      </c>
    </row>
    <row r="94" spans="1:18">
      <c r="A94" s="160" t="s">
        <v>169</v>
      </c>
    </row>
    <row r="95" spans="1:18">
      <c r="A95" s="161" t="s">
        <v>120</v>
      </c>
      <c r="B95" s="48">
        <f>B78-B19</f>
        <v>0</v>
      </c>
      <c r="C95" s="48">
        <f t="shared" ref="C95:R96" si="23">C78-C19</f>
        <v>0</v>
      </c>
      <c r="D95" s="48">
        <f t="shared" si="23"/>
        <v>-1000</v>
      </c>
      <c r="E95" s="48">
        <f t="shared" si="23"/>
        <v>0</v>
      </c>
      <c r="F95" s="48">
        <f t="shared" si="23"/>
        <v>0</v>
      </c>
      <c r="G95" s="48">
        <f t="shared" si="23"/>
        <v>-12929.7</v>
      </c>
      <c r="H95" s="48">
        <f t="shared" si="23"/>
        <v>37799.369999999995</v>
      </c>
      <c r="I95" s="48">
        <f t="shared" si="23"/>
        <v>37799.369999999995</v>
      </c>
      <c r="J95" s="48" t="e">
        <f t="shared" si="23"/>
        <v>#REF!</v>
      </c>
      <c r="K95" s="48">
        <f t="shared" si="23"/>
        <v>37799.369999999995</v>
      </c>
      <c r="L95" s="48">
        <f t="shared" si="23"/>
        <v>37799.369999999995</v>
      </c>
      <c r="M95" s="48" t="e">
        <f t="shared" si="23"/>
        <v>#REF!</v>
      </c>
      <c r="N95" s="48">
        <f t="shared" si="23"/>
        <v>37799.369999999995</v>
      </c>
      <c r="O95" s="48">
        <f t="shared" si="23"/>
        <v>37799.369999999995</v>
      </c>
      <c r="P95" s="48">
        <f t="shared" si="23"/>
        <v>-1000.63</v>
      </c>
      <c r="Q95" s="48">
        <f t="shared" si="23"/>
        <v>113398.10999999999</v>
      </c>
      <c r="R95" s="48">
        <f t="shared" si="23"/>
        <v>113398.10999999999</v>
      </c>
    </row>
    <row r="96" spans="1:18">
      <c r="A96" s="205" t="s">
        <v>121</v>
      </c>
      <c r="B96" s="48">
        <f>B79-B20</f>
        <v>0</v>
      </c>
      <c r="C96" s="48">
        <f t="shared" si="23"/>
        <v>0</v>
      </c>
      <c r="D96" s="48">
        <f t="shared" si="23"/>
        <v>-4700</v>
      </c>
      <c r="E96" s="48">
        <f t="shared" si="23"/>
        <v>0</v>
      </c>
      <c r="F96" s="48">
        <f t="shared" si="23"/>
        <v>0</v>
      </c>
      <c r="G96" s="48">
        <f t="shared" si="23"/>
        <v>-74504.090000000011</v>
      </c>
      <c r="H96" s="48">
        <f t="shared" si="23"/>
        <v>223257.11</v>
      </c>
      <c r="I96" s="48">
        <f t="shared" si="23"/>
        <v>223257.11</v>
      </c>
      <c r="J96" s="48" t="e">
        <f t="shared" si="23"/>
        <v>#REF!</v>
      </c>
      <c r="K96" s="48">
        <f t="shared" si="23"/>
        <v>223257.11</v>
      </c>
      <c r="L96" s="48">
        <f t="shared" si="23"/>
        <v>223257.11</v>
      </c>
      <c r="M96" s="48" t="e">
        <f t="shared" si="23"/>
        <v>#REF!</v>
      </c>
      <c r="N96" s="48">
        <f t="shared" si="23"/>
        <v>223257.11</v>
      </c>
      <c r="O96" s="48">
        <f t="shared" si="23"/>
        <v>223257.11</v>
      </c>
      <c r="P96" s="48">
        <f t="shared" si="23"/>
        <v>-4701.8900000000003</v>
      </c>
      <c r="Q96" s="48">
        <f t="shared" si="23"/>
        <v>669771.32999999996</v>
      </c>
      <c r="R96" s="48">
        <f t="shared" si="23"/>
        <v>669771.32999999996</v>
      </c>
    </row>
  </sheetData>
  <sheetProtection password="CA6F" sheet="1" objects="1" scenarios="1"/>
  <printOptions horizontalCentered="1" verticalCentered="1"/>
  <pageMargins left="0.05" right="0.05" top="1" bottom="1" header="0.5" footer="0.5"/>
  <pageSetup paperSize="0" scale="31" fitToWidth="0" orientation="landscape" useFirstPageNumber="1" horizontalDpi="4294967292" verticalDpi="4294967292"/>
  <headerFooter>
    <oddHeader>&amp;A</oddHeader>
    <oddFooter>&amp;L&amp;F    &amp;A&amp;C&amp;D&amp;T</oddFooter>
  </headerFooter>
  <rowBreaks count="1" manualBreakCount="1">
    <brk id="1" max="65535" man="1"/>
  </rowBreaks>
  <colBreaks count="1" manualBreakCount="1">
    <brk id="1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108"/>
  <sheetViews>
    <sheetView showZeros="0" workbookViewId="0">
      <pane xSplit="1" ySplit="4" topLeftCell="B5" activePane="bottomRight" state="frozenSplit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3" x14ac:dyDescent="0"/>
  <cols>
    <col min="1" max="1" width="30.5703125" customWidth="1"/>
    <col min="2" max="2" width="10.85546875" customWidth="1"/>
    <col min="3" max="3" width="10.85546875" style="27" customWidth="1"/>
    <col min="4" max="12" width="10.85546875" customWidth="1"/>
    <col min="13" max="13" width="11.7109375" customWidth="1"/>
    <col min="14" max="16" width="10.85546875" customWidth="1"/>
    <col min="17" max="18" width="11.85546875" customWidth="1"/>
  </cols>
  <sheetData>
    <row r="1" spans="1:35" ht="14" thickBot="1">
      <c r="U1" s="97"/>
      <c r="V1" s="97"/>
      <c r="W1" s="97"/>
      <c r="X1" s="97"/>
      <c r="Y1" s="97"/>
      <c r="Z1" s="97"/>
      <c r="AA1" s="97"/>
      <c r="AB1" s="97"/>
      <c r="AC1" s="97"/>
    </row>
    <row r="2" spans="1:35">
      <c r="B2" s="15">
        <v>1996</v>
      </c>
      <c r="C2" s="41">
        <v>1996</v>
      </c>
      <c r="D2" s="19">
        <v>1996</v>
      </c>
      <c r="E2" s="15">
        <v>1997</v>
      </c>
      <c r="F2" s="18">
        <v>1997</v>
      </c>
      <c r="G2" s="19">
        <v>1997</v>
      </c>
      <c r="H2" s="15">
        <v>1997</v>
      </c>
      <c r="I2" s="18">
        <v>1997</v>
      </c>
      <c r="J2" s="19">
        <v>1997</v>
      </c>
      <c r="K2" s="18">
        <v>1997</v>
      </c>
      <c r="L2" s="19">
        <v>1997</v>
      </c>
      <c r="M2" s="19">
        <v>1997</v>
      </c>
      <c r="N2" s="18">
        <v>1997</v>
      </c>
      <c r="O2" s="19">
        <v>1997</v>
      </c>
      <c r="P2" s="19">
        <v>1997</v>
      </c>
      <c r="Q2" s="18">
        <v>1997</v>
      </c>
      <c r="R2" s="18">
        <v>1997</v>
      </c>
      <c r="S2" s="84">
        <v>1997</v>
      </c>
      <c r="U2" s="98" t="s">
        <v>103</v>
      </c>
      <c r="V2" s="98" t="s">
        <v>103</v>
      </c>
      <c r="W2" s="98" t="s">
        <v>103</v>
      </c>
      <c r="X2" s="98" t="s">
        <v>103</v>
      </c>
      <c r="Y2" s="98" t="s">
        <v>103</v>
      </c>
      <c r="Z2" s="98" t="s">
        <v>103</v>
      </c>
      <c r="AA2" s="98" t="s">
        <v>103</v>
      </c>
      <c r="AB2" s="98" t="s">
        <v>103</v>
      </c>
      <c r="AC2" s="98" t="s">
        <v>103</v>
      </c>
      <c r="AD2" s="98" t="s">
        <v>103</v>
      </c>
      <c r="AE2" s="98" t="s">
        <v>103</v>
      </c>
      <c r="AF2" s="98" t="s">
        <v>103</v>
      </c>
      <c r="AG2" s="98"/>
      <c r="AH2" s="98"/>
      <c r="AI2" s="98"/>
    </row>
    <row r="3" spans="1:35">
      <c r="B3" s="16" t="s">
        <v>104</v>
      </c>
      <c r="C3" s="42" t="s">
        <v>104</v>
      </c>
      <c r="D3" s="21" t="s">
        <v>104</v>
      </c>
      <c r="E3" s="16" t="s">
        <v>105</v>
      </c>
      <c r="F3" s="20" t="s">
        <v>105</v>
      </c>
      <c r="G3" s="21" t="s">
        <v>105</v>
      </c>
      <c r="H3" s="16" t="s">
        <v>106</v>
      </c>
      <c r="I3" s="20" t="s">
        <v>106</v>
      </c>
      <c r="J3" s="21" t="s">
        <v>106</v>
      </c>
      <c r="K3" s="20" t="s">
        <v>108</v>
      </c>
      <c r="L3" s="21" t="s">
        <v>108</v>
      </c>
      <c r="M3" s="21" t="s">
        <v>107</v>
      </c>
      <c r="N3" s="20" t="s">
        <v>104</v>
      </c>
      <c r="O3" s="21" t="s">
        <v>104</v>
      </c>
      <c r="P3" s="21" t="s">
        <v>104</v>
      </c>
      <c r="Q3" s="20" t="s">
        <v>109</v>
      </c>
      <c r="R3" s="20" t="s">
        <v>109</v>
      </c>
      <c r="S3" s="85" t="s">
        <v>109</v>
      </c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</row>
    <row r="4" spans="1:35">
      <c r="A4" s="1"/>
      <c r="B4" s="17" t="s">
        <v>111</v>
      </c>
      <c r="C4" s="3" t="s">
        <v>112</v>
      </c>
      <c r="D4" s="23" t="s">
        <v>103</v>
      </c>
      <c r="E4" s="17" t="s">
        <v>111</v>
      </c>
      <c r="F4" s="22" t="s">
        <v>112</v>
      </c>
      <c r="G4" s="23" t="s">
        <v>103</v>
      </c>
      <c r="H4" s="17" t="s">
        <v>111</v>
      </c>
      <c r="I4" s="22" t="s">
        <v>112</v>
      </c>
      <c r="J4" s="23" t="s">
        <v>103</v>
      </c>
      <c r="K4" s="22" t="s">
        <v>183</v>
      </c>
      <c r="L4" s="23" t="s">
        <v>184</v>
      </c>
      <c r="M4" s="23" t="s">
        <v>103</v>
      </c>
      <c r="N4" s="17" t="s">
        <v>111</v>
      </c>
      <c r="O4" s="22" t="s">
        <v>112</v>
      </c>
      <c r="P4" s="23" t="s">
        <v>103</v>
      </c>
      <c r="Q4" s="22" t="s">
        <v>111</v>
      </c>
      <c r="R4" s="22" t="s">
        <v>112</v>
      </c>
      <c r="S4" s="86" t="s">
        <v>103</v>
      </c>
      <c r="U4" s="100">
        <v>33877</v>
      </c>
      <c r="V4" s="100">
        <v>33908</v>
      </c>
      <c r="W4" s="100">
        <v>33938</v>
      </c>
      <c r="X4" s="100">
        <v>33969</v>
      </c>
      <c r="Y4" s="100">
        <v>34000</v>
      </c>
      <c r="Z4" s="100">
        <v>34028</v>
      </c>
      <c r="AA4" s="100">
        <v>34059</v>
      </c>
      <c r="AB4" s="100">
        <v>34089</v>
      </c>
      <c r="AC4" s="100">
        <v>34120</v>
      </c>
      <c r="AD4" s="100">
        <v>34150</v>
      </c>
      <c r="AE4" s="100">
        <v>34181</v>
      </c>
      <c r="AF4" s="100">
        <v>34212</v>
      </c>
      <c r="AG4" s="100">
        <v>34242</v>
      </c>
      <c r="AH4" s="100">
        <v>34273</v>
      </c>
      <c r="AI4" s="100">
        <v>34303</v>
      </c>
    </row>
    <row r="5" spans="1:35" s="48" customFormat="1">
      <c r="A5"/>
      <c r="B5" s="49"/>
      <c r="C5" s="50"/>
      <c r="D5" s="51"/>
      <c r="E5" s="49"/>
      <c r="F5" s="50"/>
      <c r="G5" s="51"/>
      <c r="H5" s="49"/>
      <c r="I5" s="50"/>
      <c r="J5" s="51"/>
      <c r="K5" s="49"/>
      <c r="L5" s="50"/>
      <c r="M5" s="51"/>
      <c r="N5" s="49"/>
      <c r="O5" s="50"/>
      <c r="P5" s="51"/>
      <c r="Q5" s="50"/>
      <c r="R5" s="50"/>
      <c r="S5" s="87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</row>
    <row r="6" spans="1:35" s="48" customFormat="1">
      <c r="A6" s="37" t="s">
        <v>185</v>
      </c>
      <c r="B6" s="49">
        <f t="array" ref="B6:P6">[2]Equipment!$B$6:$P$6</f>
        <v>1729631</v>
      </c>
      <c r="C6" s="50">
        <v>1926631</v>
      </c>
      <c r="D6" s="51">
        <v>1666490.432</v>
      </c>
      <c r="E6" s="49">
        <v>1673631</v>
      </c>
      <c r="F6" s="50">
        <v>1839631</v>
      </c>
      <c r="G6" s="51">
        <v>1338641.8</v>
      </c>
      <c r="H6" s="49">
        <v>1871631</v>
      </c>
      <c r="I6" s="50">
        <v>2012631</v>
      </c>
      <c r="J6" s="51">
        <v>1326665.01</v>
      </c>
      <c r="K6" s="49">
        <v>1879631</v>
      </c>
      <c r="L6" s="50">
        <v>2033631</v>
      </c>
      <c r="M6" s="51">
        <v>1695595.3360000001</v>
      </c>
      <c r="N6" s="49">
        <v>1889631</v>
      </c>
      <c r="O6" s="50">
        <v>2125631</v>
      </c>
      <c r="P6" s="51">
        <v>1679295.92</v>
      </c>
      <c r="Q6" s="80">
        <f>N6+K6+H6+E6</f>
        <v>7314524</v>
      </c>
      <c r="R6" s="50">
        <f>O6+L6+I6+F6</f>
        <v>8011524</v>
      </c>
      <c r="S6" s="92">
        <f>P6+M6+J6+G6</f>
        <v>6040198.0659999996</v>
      </c>
      <c r="U6" s="49">
        <f>[2]Equipment!U6:U6</f>
        <v>642704.68000000005</v>
      </c>
      <c r="V6" s="49">
        <f>[2]Equipment!V6:V6</f>
        <v>527067.304</v>
      </c>
      <c r="W6" s="49">
        <f>[2]Equipment!W6:W6</f>
        <v>496718.44799999997</v>
      </c>
      <c r="X6" s="49">
        <f>[2]Equipment!X6:X6</f>
        <v>438532.4</v>
      </c>
      <c r="Y6" s="49">
        <f>[2]Equipment!Y6:Y6</f>
        <v>451845.4</v>
      </c>
      <c r="Z6" s="49">
        <f>[2]Equipment!Z6:Z6</f>
        <v>448264</v>
      </c>
      <c r="AA6" s="49">
        <f>[2]Equipment!AA6:AA6</f>
        <v>479666.8</v>
      </c>
      <c r="AB6" s="49">
        <f>[2]Equipment!AB6:AB6</f>
        <v>354624.01</v>
      </c>
      <c r="AC6" s="49">
        <f>[2]Equipment!AC6:AC6</f>
        <v>492374.2</v>
      </c>
      <c r="AD6" s="49">
        <f>[2]Equipment!AD6:AD6</f>
        <v>650463.93599999999</v>
      </c>
      <c r="AE6" s="49">
        <f>[2]Equipment!AE6:AE6</f>
        <v>441974.75999999995</v>
      </c>
      <c r="AF6" s="49">
        <f>[2]Equipment!AF6:AF6</f>
        <v>603156.64</v>
      </c>
      <c r="AG6" s="49">
        <f>[2]Equipment!AG6:AG6</f>
        <v>614692.03</v>
      </c>
      <c r="AH6" s="49">
        <f>[2]Equipment!AH6:AH6</f>
        <v>572211.93999999994</v>
      </c>
      <c r="AI6" s="49">
        <f>[2]Equipment!AI6:AI6</f>
        <v>492392</v>
      </c>
    </row>
    <row r="7" spans="1:35" s="48" customFormat="1">
      <c r="A7" s="2"/>
      <c r="B7" s="49"/>
      <c r="C7" s="50"/>
      <c r="D7" s="51"/>
      <c r="E7" s="49"/>
      <c r="F7" s="50"/>
      <c r="G7" s="51"/>
      <c r="H7" s="49"/>
      <c r="I7" s="50"/>
      <c r="J7" s="51"/>
      <c r="K7" s="49"/>
      <c r="L7" s="50"/>
      <c r="M7" s="51"/>
      <c r="N7" s="49"/>
      <c r="O7" s="50"/>
      <c r="P7" s="51"/>
      <c r="Q7" s="80"/>
      <c r="R7" s="50"/>
      <c r="S7" s="92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</row>
    <row r="8" spans="1:35" s="48" customFormat="1">
      <c r="A8" s="37" t="s">
        <v>186</v>
      </c>
      <c r="B8" s="49">
        <f t="array" ref="B8:P8">[2]Equipment!$B$8:$P$8</f>
        <v>1481000</v>
      </c>
      <c r="C8" s="50">
        <v>1523000</v>
      </c>
      <c r="D8" s="51">
        <v>1418443.6</v>
      </c>
      <c r="E8" s="49">
        <v>1425740</v>
      </c>
      <c r="F8" s="50">
        <v>1452280</v>
      </c>
      <c r="G8" s="51">
        <v>1180201.8</v>
      </c>
      <c r="H8" s="49">
        <v>1410940</v>
      </c>
      <c r="I8" s="50">
        <v>1457280</v>
      </c>
      <c r="J8" s="51">
        <v>1296561.5</v>
      </c>
      <c r="K8" s="49">
        <v>1386940</v>
      </c>
      <c r="L8" s="50">
        <v>1436280</v>
      </c>
      <c r="M8" s="51">
        <v>1381968.8940000001</v>
      </c>
      <c r="N8" s="49">
        <v>1386940</v>
      </c>
      <c r="O8" s="50">
        <v>1452280</v>
      </c>
      <c r="P8" s="51">
        <v>1155144.7500000002</v>
      </c>
      <c r="Q8" s="80">
        <f>N8+K8+H8+E8</f>
        <v>5610560</v>
      </c>
      <c r="R8" s="80">
        <f>O8+L8+I8+F8</f>
        <v>5798120</v>
      </c>
      <c r="S8" s="92">
        <f>P8+M8+J8+G8</f>
        <v>5013876.9440000001</v>
      </c>
      <c r="U8" s="49">
        <f>[2]Equipment!U8:U8</f>
        <v>492002</v>
      </c>
      <c r="V8" s="49">
        <f>[2]Equipment!V8:V8</f>
        <v>474072.6</v>
      </c>
      <c r="W8" s="49">
        <f>[2]Equipment!W8:W8</f>
        <v>452369</v>
      </c>
      <c r="X8" s="49">
        <f>[2]Equipment!X8:X8</f>
        <v>358282</v>
      </c>
      <c r="Y8" s="49">
        <f>[2]Equipment!Y8:Y8</f>
        <v>411933.4</v>
      </c>
      <c r="Z8" s="49">
        <f>[2]Equipment!Z8:Z8</f>
        <v>409986.4</v>
      </c>
      <c r="AA8" s="49">
        <f>[2]Equipment!AA8:AA8</f>
        <v>431734</v>
      </c>
      <c r="AB8" s="49">
        <f>[2]Equipment!AB8:AB8</f>
        <v>381916.94</v>
      </c>
      <c r="AC8" s="49">
        <f>[2]Equipment!AC8:AC8</f>
        <v>482910.56</v>
      </c>
      <c r="AD8" s="49">
        <f>[2]Equipment!AD8:AD8</f>
        <v>634941.97399999993</v>
      </c>
      <c r="AE8" s="49">
        <f>[2]Equipment!AE8:AE8</f>
        <v>321119.26999999996</v>
      </c>
      <c r="AF8" s="49">
        <f>[2]Equipment!AF8:AF8</f>
        <v>446153.16000000003</v>
      </c>
      <c r="AG8" s="49">
        <f>[2]Equipment!AG8:AG8</f>
        <v>384073.46</v>
      </c>
      <c r="AH8" s="49">
        <f>[2]Equipment!AH8:AH8</f>
        <v>401484.93</v>
      </c>
      <c r="AI8" s="49">
        <f>[2]Equipment!AI8:AI8</f>
        <v>375342</v>
      </c>
    </row>
    <row r="9" spans="1:35" s="48" customFormat="1" ht="14" thickBot="1">
      <c r="A9" s="3"/>
      <c r="B9" s="55"/>
      <c r="C9" s="56"/>
      <c r="D9" s="57"/>
      <c r="E9" s="55"/>
      <c r="F9" s="56"/>
      <c r="G9" s="57"/>
      <c r="H9" s="55"/>
      <c r="I9" s="56"/>
      <c r="J9" s="57"/>
      <c r="K9" s="55"/>
      <c r="L9" s="56"/>
      <c r="M9" s="57"/>
      <c r="N9" s="55"/>
      <c r="O9" s="56"/>
      <c r="P9" s="57"/>
      <c r="Q9" s="54"/>
      <c r="R9" s="56"/>
      <c r="S9" s="93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</row>
    <row r="10" spans="1:35" s="48" customFormat="1" ht="14" thickBot="1">
      <c r="A10" s="34" t="s">
        <v>117</v>
      </c>
      <c r="B10" s="55">
        <f>B6-B8</f>
        <v>248631</v>
      </c>
      <c r="C10" s="56">
        <f t="shared" ref="C10:P10" si="0">C6-C8</f>
        <v>403631</v>
      </c>
      <c r="D10" s="57">
        <f t="shared" si="0"/>
        <v>248046.83199999994</v>
      </c>
      <c r="E10" s="55">
        <f t="shared" si="0"/>
        <v>247891</v>
      </c>
      <c r="F10" s="56">
        <f t="shared" si="0"/>
        <v>387351</v>
      </c>
      <c r="G10" s="57">
        <f t="shared" si="0"/>
        <v>158440</v>
      </c>
      <c r="H10" s="55">
        <f t="shared" si="0"/>
        <v>460691</v>
      </c>
      <c r="I10" s="56">
        <f t="shared" si="0"/>
        <v>555351</v>
      </c>
      <c r="J10" s="57">
        <f t="shared" si="0"/>
        <v>30103.510000000009</v>
      </c>
      <c r="K10" s="55">
        <f t="shared" si="0"/>
        <v>492691</v>
      </c>
      <c r="L10" s="56">
        <f t="shared" si="0"/>
        <v>597351</v>
      </c>
      <c r="M10" s="57">
        <f t="shared" si="0"/>
        <v>313626.44200000004</v>
      </c>
      <c r="N10" s="55">
        <f t="shared" si="0"/>
        <v>502691</v>
      </c>
      <c r="O10" s="56">
        <f t="shared" si="0"/>
        <v>673351</v>
      </c>
      <c r="P10" s="57">
        <f t="shared" si="0"/>
        <v>524151.16999999969</v>
      </c>
      <c r="Q10" s="56">
        <f>Q6-Q8</f>
        <v>1703964</v>
      </c>
      <c r="R10" s="56">
        <f>R6-R8</f>
        <v>2213404</v>
      </c>
      <c r="S10" s="93">
        <f>S6-S8</f>
        <v>1026321.1219999995</v>
      </c>
      <c r="U10" s="102">
        <f t="shared" ref="U10:AI10" si="1">U6-U8</f>
        <v>150702.68000000005</v>
      </c>
      <c r="V10" s="102">
        <f t="shared" si="1"/>
        <v>52994.704000000027</v>
      </c>
      <c r="W10" s="102">
        <f t="shared" si="1"/>
        <v>44349.447999999975</v>
      </c>
      <c r="X10" s="102">
        <f t="shared" si="1"/>
        <v>80250.400000000023</v>
      </c>
      <c r="Y10" s="102">
        <f t="shared" si="1"/>
        <v>39912</v>
      </c>
      <c r="Z10" s="102">
        <f t="shared" si="1"/>
        <v>38277.599999999977</v>
      </c>
      <c r="AA10" s="102">
        <f t="shared" si="1"/>
        <v>47932.799999999988</v>
      </c>
      <c r="AB10" s="102">
        <f t="shared" si="1"/>
        <v>-27292.929999999993</v>
      </c>
      <c r="AC10" s="102">
        <f t="shared" si="1"/>
        <v>9463.640000000014</v>
      </c>
      <c r="AD10" s="102">
        <f t="shared" si="1"/>
        <v>15521.962000000058</v>
      </c>
      <c r="AE10" s="102">
        <f t="shared" si="1"/>
        <v>120855.48999999999</v>
      </c>
      <c r="AF10" s="102">
        <f t="shared" si="1"/>
        <v>157003.47999999998</v>
      </c>
      <c r="AG10" s="102">
        <f t="shared" si="1"/>
        <v>230618.57</v>
      </c>
      <c r="AH10" s="102">
        <f t="shared" si="1"/>
        <v>170727.00999999995</v>
      </c>
      <c r="AI10" s="102">
        <f t="shared" si="1"/>
        <v>117050</v>
      </c>
    </row>
    <row r="11" spans="1:35" s="48" customFormat="1">
      <c r="A11"/>
      <c r="B11" s="49"/>
      <c r="C11" s="50"/>
      <c r="D11" s="51"/>
      <c r="E11" s="49"/>
      <c r="F11" s="50"/>
      <c r="G11" s="51"/>
      <c r="H11" s="49"/>
      <c r="I11" s="50"/>
      <c r="J11" s="51"/>
      <c r="K11" s="49"/>
      <c r="L11" s="50"/>
      <c r="M11" s="51"/>
      <c r="N11" s="49"/>
      <c r="O11" s="50"/>
      <c r="P11" s="51"/>
      <c r="Q11" s="50"/>
      <c r="R11" s="50"/>
      <c r="S11" s="92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</row>
    <row r="12" spans="1:35" s="48" customFormat="1">
      <c r="A12" s="4" t="s">
        <v>173</v>
      </c>
      <c r="B12" s="11"/>
      <c r="C12" s="50"/>
      <c r="D12" s="51"/>
      <c r="E12" s="49"/>
      <c r="F12" s="50"/>
      <c r="G12" s="51"/>
      <c r="H12" s="49"/>
      <c r="I12" s="50"/>
      <c r="J12" s="51"/>
      <c r="K12" s="49"/>
      <c r="L12" s="50"/>
      <c r="M12" s="51"/>
      <c r="N12" s="49"/>
      <c r="O12" s="50"/>
      <c r="P12" s="51"/>
      <c r="Q12" s="81"/>
      <c r="R12" s="50"/>
      <c r="S12" s="92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</row>
    <row r="13" spans="1:35" s="48" customFormat="1">
      <c r="A13"/>
      <c r="B13" s="11"/>
      <c r="C13" s="50"/>
      <c r="D13" s="51"/>
      <c r="E13" s="49"/>
      <c r="F13" s="50"/>
      <c r="G13" s="51"/>
      <c r="H13" s="49"/>
      <c r="I13" s="50"/>
      <c r="J13" s="51"/>
      <c r="K13" s="49"/>
      <c r="L13" s="50"/>
      <c r="M13" s="51"/>
      <c r="N13" s="49"/>
      <c r="O13" s="50"/>
      <c r="P13" s="51"/>
      <c r="Q13" s="50"/>
      <c r="R13" s="50"/>
      <c r="S13" s="92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</row>
    <row r="14" spans="1:35" s="52" customFormat="1">
      <c r="A14" s="73"/>
      <c r="B14" s="11"/>
      <c r="C14" s="40"/>
      <c r="D14" s="44"/>
      <c r="E14" s="11"/>
      <c r="F14" s="40"/>
      <c r="G14" s="44"/>
      <c r="H14" s="11"/>
      <c r="I14" s="40"/>
      <c r="J14" s="44"/>
      <c r="K14" s="11"/>
      <c r="L14" s="40"/>
      <c r="M14" s="44"/>
      <c r="N14" s="11"/>
      <c r="O14" s="40"/>
      <c r="P14" s="44"/>
      <c r="Q14" s="50"/>
      <c r="R14" s="50"/>
      <c r="S14" s="92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</row>
    <row r="15" spans="1:35" s="48" customFormat="1">
      <c r="A15" s="37" t="s">
        <v>118</v>
      </c>
      <c r="B15" s="49">
        <f>[2]Equipment!B15:B15</f>
        <v>70796</v>
      </c>
      <c r="C15" s="50">
        <f>[2]Equipment!C15:C15</f>
        <v>70796</v>
      </c>
      <c r="D15" s="51">
        <f>[2]Equipment!D15:D15</f>
        <v>71006</v>
      </c>
      <c r="E15" s="49">
        <f>[2]Equipment!E15:E15</f>
        <v>70796</v>
      </c>
      <c r="F15" s="50">
        <f>[2]Equipment!F15:F15</f>
        <v>70796</v>
      </c>
      <c r="G15" s="51">
        <f>[2]Equipment!G15:G15</f>
        <v>65197</v>
      </c>
      <c r="H15" s="49">
        <f>[2]Equipment!H15:H15</f>
        <v>70796</v>
      </c>
      <c r="I15" s="50">
        <f>[2]Equipment!I15:I15</f>
        <v>70796</v>
      </c>
      <c r="J15" s="51">
        <f>[2]Equipment!J15:J15</f>
        <v>46989.630300000004</v>
      </c>
      <c r="K15" s="49">
        <f>[2]Equipment!K15:K15</f>
        <v>70796</v>
      </c>
      <c r="L15" s="50">
        <f>[2]Equipment!L15:L15</f>
        <v>70796</v>
      </c>
      <c r="M15" s="51">
        <f>[2]Equipment!M15:M15</f>
        <v>0</v>
      </c>
      <c r="N15" s="49">
        <f>[2]Equipment!N15:N15</f>
        <v>70796</v>
      </c>
      <c r="O15" s="50">
        <f>[2]Equipment!O15:O15</f>
        <v>70796</v>
      </c>
      <c r="P15" s="51">
        <f>[2]Equipment!P7:P7</f>
        <v>0</v>
      </c>
      <c r="Q15" s="49">
        <f>N15+K15+H15+E15</f>
        <v>283184</v>
      </c>
      <c r="R15" s="50">
        <f>O15+L15+I15+F15</f>
        <v>283184</v>
      </c>
      <c r="S15" s="92">
        <f>P15+M15+J15+G15</f>
        <v>112186.6303</v>
      </c>
      <c r="U15" s="49">
        <f>[2]Equipment!U15:U15</f>
        <v>41350.500000000007</v>
      </c>
      <c r="V15" s="49">
        <f>[2]Equipment!V15:V15</f>
        <v>21306.300000000003</v>
      </c>
      <c r="W15" s="49">
        <f>[2]Equipment!W15:W15</f>
        <v>4219.6740000000009</v>
      </c>
      <c r="X15" s="49">
        <f>[2]Equipment!X15:X15</f>
        <v>21435.969000000001</v>
      </c>
      <c r="Y15" s="49">
        <f>[2]Equipment!Y15:Y15</f>
        <v>18865.710000000003</v>
      </c>
      <c r="Z15" s="49">
        <f>[2]Equipment!Z15:Z15</f>
        <v>17224.707000000002</v>
      </c>
      <c r="AA15" s="49">
        <f>[2]Equipment!AA15:AA15</f>
        <v>12382.818299999999</v>
      </c>
      <c r="AB15" s="49">
        <f>[2]Equipment!AB15:AB15</f>
        <v>11760.927</v>
      </c>
      <c r="AC15" s="49">
        <f>[2]Equipment!AC15:AC15</f>
        <v>21362.174999999999</v>
      </c>
      <c r="AD15" s="49">
        <f>[2]Equipment!AD15:AD15</f>
        <v>17040.915000000001</v>
      </c>
      <c r="AE15" s="49">
        <f>[2]Equipment!AE15:AE15</f>
        <v>24963.288000000004</v>
      </c>
      <c r="AF15" s="49">
        <f>[2]Equipment!AF15:AF15</f>
        <v>21040.923000000003</v>
      </c>
      <c r="AG15" s="49">
        <f>[2]Equipment!AG15:AG15</f>
        <v>32016.638999999999</v>
      </c>
      <c r="AH15" s="49">
        <f>[2]Equipment!AH15:AH15</f>
        <v>21813.414000000004</v>
      </c>
      <c r="AI15" s="49">
        <f>[2]Equipment!AI15:AI15</f>
        <v>19943.373</v>
      </c>
    </row>
    <row r="16" spans="1:35" s="52" customFormat="1">
      <c r="A16" s="73"/>
      <c r="B16" s="11"/>
      <c r="C16" s="40"/>
      <c r="D16" s="44"/>
      <c r="E16" s="11"/>
      <c r="F16" s="40"/>
      <c r="G16" s="44"/>
      <c r="H16" s="11"/>
      <c r="I16" s="40"/>
      <c r="J16" s="44"/>
      <c r="K16" s="11"/>
      <c r="L16" s="40"/>
      <c r="M16" s="44"/>
      <c r="N16" s="11"/>
      <c r="O16" s="40"/>
      <c r="P16" s="44"/>
      <c r="Q16" s="49"/>
      <c r="R16" s="50"/>
      <c r="S16" s="92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</row>
    <row r="17" spans="1:35" s="48" customFormat="1">
      <c r="A17" s="37" t="s">
        <v>119</v>
      </c>
      <c r="B17" s="49">
        <f>[2]Equipment!B17:B17</f>
        <v>29300</v>
      </c>
      <c r="C17" s="50">
        <f>[2]Equipment!C17:C17</f>
        <v>29300</v>
      </c>
      <c r="D17" s="51">
        <f>[2]Equipment!D17:D17</f>
        <v>29386</v>
      </c>
      <c r="E17" s="49">
        <f>[2]Equipment!E17:E17</f>
        <v>29300</v>
      </c>
      <c r="F17" s="50">
        <f>[2]Equipment!F17:F17</f>
        <v>29300</v>
      </c>
      <c r="G17" s="51">
        <f>[2]Equipment!G17:G17</f>
        <v>22331</v>
      </c>
      <c r="H17" s="49">
        <f>[2]Equipment!H17:H17</f>
        <v>29300</v>
      </c>
      <c r="I17" s="50">
        <f>[2]Equipment!I17:I17</f>
        <v>29300</v>
      </c>
      <c r="J17" s="51">
        <f>[2]Equipment!J17:J17</f>
        <v>22069.366000000002</v>
      </c>
      <c r="K17" s="49">
        <f>[2]Equipment!K17:K17</f>
        <v>29300</v>
      </c>
      <c r="L17" s="50">
        <f>[2]Equipment!L17:L17</f>
        <v>29300</v>
      </c>
      <c r="M17" s="51">
        <f>[2]Equipment!M17:M17</f>
        <v>0</v>
      </c>
      <c r="N17" s="49">
        <f>[2]Equipment!N17:N17</f>
        <v>29300</v>
      </c>
      <c r="O17" s="50">
        <f>[2]Equipment!O17:O17</f>
        <v>29300</v>
      </c>
      <c r="P17" s="51">
        <f>[2]Equipment!P9:P9</f>
        <v>0</v>
      </c>
      <c r="Q17" s="49">
        <f>N17+K17+H17+E17</f>
        <v>117200</v>
      </c>
      <c r="R17" s="50">
        <f>O17+L17+I17+F17</f>
        <v>117200</v>
      </c>
      <c r="S17" s="92">
        <f>P17+M17+J17+G17</f>
        <v>44400.366000000002</v>
      </c>
      <c r="U17" s="49">
        <f>[2]Equipment!U17:U17</f>
        <v>7582.23</v>
      </c>
      <c r="V17" s="49">
        <f>[2]Equipment!V17:V17</f>
        <v>7457.0250000000005</v>
      </c>
      <c r="W17" s="49">
        <f>[2]Equipment!W17:W17</f>
        <v>5284.179000000001</v>
      </c>
      <c r="X17" s="49">
        <f>[2]Equipment!X17:X17</f>
        <v>7262.6880000000001</v>
      </c>
      <c r="Y17" s="49">
        <f>[2]Equipment!Y17:Y17</f>
        <v>5975.1</v>
      </c>
      <c r="Z17" s="49">
        <f>[2]Equipment!Z17:Z17</f>
        <v>6465.9000000000005</v>
      </c>
      <c r="AA17" s="49">
        <f>[2]Equipment!AA17:AA17</f>
        <v>6972.9000000000005</v>
      </c>
      <c r="AB17" s="49">
        <f>[2]Equipment!AB17:AB17</f>
        <v>7138.4759999999997</v>
      </c>
      <c r="AC17" s="49">
        <f>[2]Equipment!AC17:AC17</f>
        <v>7504.2000000000007</v>
      </c>
      <c r="AD17" s="49">
        <f>[2]Equipment!AD17:AD17</f>
        <v>7384.1009999999997</v>
      </c>
      <c r="AE17" s="49">
        <f>[2]Equipment!AE17:AE17</f>
        <v>7890.6</v>
      </c>
      <c r="AF17" s="49">
        <f>[2]Equipment!AF17:AF17</f>
        <v>7478.7390000000014</v>
      </c>
      <c r="AG17" s="49">
        <f>[2]Equipment!AG17:AG17</f>
        <v>8072.8380000000006</v>
      </c>
      <c r="AH17" s="49">
        <f>[2]Equipment!AH17:AH17</f>
        <v>8485.527</v>
      </c>
      <c r="AI17" s="49">
        <f>[2]Equipment!AI17:AI17</f>
        <v>4446.1320000000005</v>
      </c>
    </row>
    <row r="18" spans="1:35" s="52" customFormat="1">
      <c r="A18" s="73"/>
      <c r="B18" s="11"/>
      <c r="C18" s="40"/>
      <c r="D18" s="44"/>
      <c r="E18" s="11"/>
      <c r="F18" s="40"/>
      <c r="G18" s="44"/>
      <c r="H18" s="11"/>
      <c r="I18" s="40"/>
      <c r="J18" s="44"/>
      <c r="K18" s="11"/>
      <c r="L18" s="40"/>
      <c r="M18" s="44"/>
      <c r="N18" s="11"/>
      <c r="O18" s="40"/>
      <c r="P18" s="44"/>
      <c r="Q18" s="49"/>
      <c r="R18" s="50"/>
      <c r="S18" s="92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</row>
    <row r="19" spans="1:35" s="48" customFormat="1">
      <c r="A19" s="43" t="s">
        <v>120</v>
      </c>
      <c r="B19" s="55">
        <f>[2]Equipment!B19:B19</f>
        <v>20400</v>
      </c>
      <c r="C19" s="56">
        <f>[2]Equipment!C19:C19</f>
        <v>20400</v>
      </c>
      <c r="D19" s="57">
        <f>[2]Equipment!D19:D19</f>
        <v>20460</v>
      </c>
      <c r="E19" s="55">
        <f>[2]Equipment!E19:E19</f>
        <v>20400</v>
      </c>
      <c r="F19" s="56">
        <f>[2]Equipment!F19:F19</f>
        <v>20400</v>
      </c>
      <c r="G19" s="57">
        <f>[2]Equipment!G19:G19</f>
        <v>16635</v>
      </c>
      <c r="H19" s="55">
        <f>[2]Equipment!H19:H19</f>
        <v>20400</v>
      </c>
      <c r="I19" s="56">
        <f>[2]Equipment!I19:I19</f>
        <v>20400</v>
      </c>
      <c r="J19" s="57" t="e">
        <f>[2]Equipment!J19:J19</f>
        <v>#REF!</v>
      </c>
      <c r="K19" s="55">
        <f>[2]Equipment!K19:K19</f>
        <v>20400</v>
      </c>
      <c r="L19" s="56">
        <f>[2]Equipment!L19:L19</f>
        <v>20400</v>
      </c>
      <c r="M19" s="57" t="e">
        <f>[2]Equipment!M19:M19</f>
        <v>#REF!</v>
      </c>
      <c r="N19" s="55">
        <f>[2]Equipment!N19:N19</f>
        <v>20400</v>
      </c>
      <c r="O19" s="56">
        <f>[2]Equipment!O19:O19</f>
        <v>20400</v>
      </c>
      <c r="P19" s="57">
        <f>[2]Equipment!P11:P11</f>
        <v>0</v>
      </c>
      <c r="Q19" s="55">
        <f t="shared" ref="Q19:S20" si="2">N19+K19+H19+E19</f>
        <v>81600</v>
      </c>
      <c r="R19" s="56">
        <f t="shared" si="2"/>
        <v>81600</v>
      </c>
      <c r="S19" s="93" t="e">
        <f t="shared" si="2"/>
        <v>#REF!</v>
      </c>
      <c r="U19" s="49">
        <f>[2]Equipment!U19:U19</f>
        <v>9882.384</v>
      </c>
      <c r="V19" s="49">
        <f>[2]Equipment!V19:V19</f>
        <v>9137.6219999999994</v>
      </c>
      <c r="W19" s="49">
        <f>[2]Equipment!W19:W19</f>
        <v>7216.4400000000005</v>
      </c>
      <c r="X19" s="49">
        <f>[2]Equipment!X19:X19</f>
        <v>4552.9709999999995</v>
      </c>
      <c r="Y19" s="49">
        <f>[2]Equipment!Y19:Y19</f>
        <v>8320.9140000000007</v>
      </c>
      <c r="Z19" s="49">
        <f>[2]Equipment!Z19:Z19</f>
        <v>1443.309</v>
      </c>
      <c r="AA19" s="49">
        <f>[2]Equipment!AA19:AA19</f>
        <v>5468.9078</v>
      </c>
      <c r="AB19" s="49">
        <f>[2]Equipment!AB19:AB19</f>
        <v>4871.9070000000002</v>
      </c>
      <c r="AC19" s="49">
        <f>[2]Equipment!AC19:AC19</f>
        <v>3272.6100000000006</v>
      </c>
      <c r="AD19" s="49">
        <f>[2]Equipment!AD19:AD19</f>
        <v>1693.6020000000003</v>
      </c>
      <c r="AE19" s="49">
        <f>[2]Equipment!AE19:AE19</f>
        <v>2248.1489999999999</v>
      </c>
      <c r="AF19" s="49">
        <f>[2]Equipment!AF19:AF19</f>
        <v>1964.1090000000002</v>
      </c>
      <c r="AG19" s="49">
        <f>[2]Equipment!AG19:AG19</f>
        <v>4775.0280000000002</v>
      </c>
      <c r="AH19" s="49">
        <f>[2]Equipment!AH19:AH19</f>
        <v>2879.1</v>
      </c>
      <c r="AI19" s="49">
        <f>[2]Equipment!AI19:AI19</f>
        <v>4647.6000000000004</v>
      </c>
    </row>
    <row r="20" spans="1:35" s="48" customFormat="1">
      <c r="A20" s="43" t="s">
        <v>187</v>
      </c>
      <c r="B20" s="55">
        <f>B19+B17+B15</f>
        <v>120496</v>
      </c>
      <c r="C20" s="55">
        <f t="shared" ref="C20:P20" si="3">C19+C17+C15</f>
        <v>120496</v>
      </c>
      <c r="D20" s="55">
        <f t="shared" si="3"/>
        <v>120852</v>
      </c>
      <c r="E20" s="55">
        <f t="shared" si="3"/>
        <v>120496</v>
      </c>
      <c r="F20" s="55">
        <f t="shared" si="3"/>
        <v>120496</v>
      </c>
      <c r="G20" s="55">
        <f t="shared" si="3"/>
        <v>104163</v>
      </c>
      <c r="H20" s="55">
        <f t="shared" si="3"/>
        <v>120496</v>
      </c>
      <c r="I20" s="55">
        <f t="shared" si="3"/>
        <v>120496</v>
      </c>
      <c r="J20" s="55" t="e">
        <f t="shared" si="3"/>
        <v>#REF!</v>
      </c>
      <c r="K20" s="55">
        <f t="shared" si="3"/>
        <v>120496</v>
      </c>
      <c r="L20" s="55">
        <f t="shared" si="3"/>
        <v>120496</v>
      </c>
      <c r="M20" s="55" t="e">
        <f t="shared" si="3"/>
        <v>#REF!</v>
      </c>
      <c r="N20" s="55">
        <f t="shared" si="3"/>
        <v>120496</v>
      </c>
      <c r="O20" s="55">
        <f t="shared" si="3"/>
        <v>120496</v>
      </c>
      <c r="P20" s="55">
        <f t="shared" si="3"/>
        <v>0</v>
      </c>
      <c r="Q20" s="55">
        <f t="shared" si="2"/>
        <v>481984</v>
      </c>
      <c r="R20" s="55">
        <f t="shared" si="2"/>
        <v>481984</v>
      </c>
      <c r="S20" s="319" t="e">
        <f t="shared" si="2"/>
        <v>#REF!</v>
      </c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</row>
    <row r="21" spans="1:35" s="48" customFormat="1">
      <c r="A21" s="43"/>
      <c r="B21" s="49"/>
      <c r="C21" s="50"/>
      <c r="D21" s="51"/>
      <c r="E21" s="49"/>
      <c r="F21" s="50"/>
      <c r="G21" s="51"/>
      <c r="H21" s="49"/>
      <c r="I21" s="50"/>
      <c r="J21" s="51"/>
      <c r="K21" s="49"/>
      <c r="L21" s="50"/>
      <c r="M21" s="51"/>
      <c r="N21" s="49"/>
      <c r="O21" s="50"/>
      <c r="P21" s="51"/>
      <c r="Q21" s="49"/>
      <c r="R21" s="50"/>
      <c r="S21" s="51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</row>
    <row r="22" spans="1:35" s="56" customFormat="1" ht="14" thickBot="1">
      <c r="A22" s="34" t="s">
        <v>175</v>
      </c>
      <c r="B22" s="55">
        <f>B10-B20</f>
        <v>128135</v>
      </c>
      <c r="C22" s="56">
        <f t="shared" ref="C22:P22" si="4">C10-C20</f>
        <v>283135</v>
      </c>
      <c r="D22" s="57">
        <f t="shared" si="4"/>
        <v>127194.83199999994</v>
      </c>
      <c r="E22" s="55">
        <f t="shared" si="4"/>
        <v>127395</v>
      </c>
      <c r="F22" s="56">
        <f t="shared" si="4"/>
        <v>266855</v>
      </c>
      <c r="G22" s="57">
        <f t="shared" si="4"/>
        <v>54277</v>
      </c>
      <c r="H22" s="55">
        <f t="shared" si="4"/>
        <v>340195</v>
      </c>
      <c r="I22" s="56">
        <f t="shared" si="4"/>
        <v>434855</v>
      </c>
      <c r="J22" s="57" t="e">
        <f t="shared" si="4"/>
        <v>#REF!</v>
      </c>
      <c r="K22" s="55">
        <f t="shared" si="4"/>
        <v>372195</v>
      </c>
      <c r="L22" s="56">
        <f t="shared" si="4"/>
        <v>476855</v>
      </c>
      <c r="M22" s="57" t="e">
        <f t="shared" si="4"/>
        <v>#REF!</v>
      </c>
      <c r="N22" s="55">
        <f t="shared" si="4"/>
        <v>382195</v>
      </c>
      <c r="O22" s="56">
        <f t="shared" si="4"/>
        <v>552855</v>
      </c>
      <c r="P22" s="57">
        <f t="shared" si="4"/>
        <v>524151.16999999969</v>
      </c>
      <c r="Q22" s="55">
        <f>N22+K22+H22+E22</f>
        <v>1221980</v>
      </c>
      <c r="R22" s="56">
        <f>O22+L22+I22+F22</f>
        <v>1731420</v>
      </c>
      <c r="S22" s="57" t="e">
        <f>P22+M22+J22+G22</f>
        <v>#REF!</v>
      </c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</row>
    <row r="23" spans="1:35" s="48" customFormat="1" ht="14" thickBot="1">
      <c r="A23"/>
      <c r="B23" s="11"/>
      <c r="C23" s="50"/>
      <c r="D23" s="51"/>
      <c r="E23" s="49"/>
      <c r="F23" s="50"/>
      <c r="G23" s="51"/>
      <c r="H23" s="49"/>
      <c r="I23" s="50"/>
      <c r="J23" s="51"/>
      <c r="K23" s="49"/>
      <c r="L23" s="50"/>
      <c r="M23" s="51"/>
      <c r="N23" s="49"/>
      <c r="O23" s="50"/>
      <c r="P23" s="51"/>
      <c r="Q23" s="71"/>
      <c r="R23" s="71"/>
      <c r="S23" s="94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</row>
    <row r="24" spans="1:35" s="52" customFormat="1">
      <c r="A24"/>
      <c r="B24" s="11"/>
      <c r="C24" s="40"/>
      <c r="D24" s="44"/>
      <c r="E24" s="11"/>
      <c r="F24" s="40"/>
      <c r="G24" s="44"/>
      <c r="H24" s="11"/>
      <c r="I24" s="40"/>
      <c r="J24" s="44"/>
      <c r="K24" s="11"/>
      <c r="L24" s="40"/>
      <c r="M24" s="44"/>
      <c r="N24" s="11"/>
      <c r="O24" s="40"/>
      <c r="P24" s="44"/>
      <c r="Q24" s="64"/>
      <c r="R24" s="64"/>
      <c r="S24" s="95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s="48" customFormat="1">
      <c r="A25" t="s">
        <v>176</v>
      </c>
      <c r="B25" s="49"/>
      <c r="C25" s="50"/>
      <c r="D25" s="51"/>
      <c r="E25" s="49"/>
      <c r="F25" s="50"/>
      <c r="G25" s="51"/>
      <c r="H25" s="49"/>
      <c r="I25" s="50"/>
      <c r="J25" s="51"/>
      <c r="K25" s="49"/>
      <c r="L25" s="50"/>
      <c r="M25" s="51"/>
      <c r="N25" s="49"/>
      <c r="O25" s="50"/>
      <c r="P25" s="51"/>
      <c r="Q25" s="82"/>
      <c r="R25" s="50"/>
      <c r="S25" s="92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26">
      <c r="A26" s="45" t="s">
        <v>132</v>
      </c>
      <c r="B26" s="8"/>
      <c r="C26" s="31"/>
      <c r="D26" s="10"/>
      <c r="E26" s="8"/>
      <c r="F26" s="9"/>
      <c r="G26" s="10"/>
      <c r="H26" s="8"/>
      <c r="I26" s="9"/>
      <c r="J26" s="10"/>
      <c r="K26" s="8"/>
      <c r="L26" s="9"/>
      <c r="M26" s="10"/>
      <c r="N26" s="8"/>
      <c r="O26" s="9"/>
      <c r="P26" s="10"/>
      <c r="Q26" s="46"/>
      <c r="R26" s="9"/>
      <c r="S26" s="91"/>
    </row>
    <row r="27" spans="1:35">
      <c r="A27" s="45"/>
      <c r="B27" s="8"/>
      <c r="C27" s="31"/>
      <c r="D27" s="10"/>
      <c r="E27" s="8"/>
      <c r="F27" s="9"/>
      <c r="G27" s="10"/>
      <c r="H27" s="8"/>
      <c r="I27" s="9"/>
      <c r="J27" s="10"/>
      <c r="K27" s="8"/>
      <c r="L27" s="9"/>
      <c r="M27" s="10"/>
      <c r="N27" s="8"/>
      <c r="O27" s="9"/>
      <c r="P27" s="10"/>
      <c r="Q27" s="46"/>
      <c r="R27" s="9"/>
      <c r="S27" s="91"/>
    </row>
    <row r="28" spans="1:35">
      <c r="A28" s="5"/>
      <c r="B28" s="8"/>
      <c r="C28" s="31"/>
      <c r="D28" s="10"/>
      <c r="E28" s="8"/>
      <c r="F28" s="9"/>
      <c r="G28" s="10"/>
      <c r="H28" s="8"/>
      <c r="I28" s="9"/>
      <c r="J28" s="10"/>
      <c r="K28" s="8"/>
      <c r="L28" s="9"/>
      <c r="M28" s="10"/>
      <c r="N28" s="8"/>
      <c r="O28" s="9"/>
      <c r="P28" s="10"/>
      <c r="Q28" s="46"/>
      <c r="R28" s="9"/>
      <c r="S28" s="91"/>
    </row>
    <row r="29" spans="1:35" ht="52">
      <c r="A29" s="5" t="s">
        <v>140</v>
      </c>
      <c r="B29" s="11"/>
      <c r="C29" s="31"/>
      <c r="D29" s="10"/>
      <c r="E29" s="11"/>
      <c r="F29" s="9"/>
      <c r="G29" s="10"/>
      <c r="H29" s="11"/>
      <c r="I29" s="9"/>
      <c r="J29" s="10"/>
      <c r="K29" s="11"/>
      <c r="L29" s="9"/>
      <c r="M29" s="10"/>
      <c r="N29" s="11"/>
      <c r="O29" s="9"/>
      <c r="P29" s="10"/>
      <c r="Q29" s="82"/>
      <c r="R29" s="50"/>
      <c r="S29" s="92"/>
    </row>
    <row r="30" spans="1:35">
      <c r="A30" s="5"/>
      <c r="B30" s="8"/>
      <c r="C30" s="31"/>
      <c r="D30" s="10"/>
      <c r="E30" s="8"/>
      <c r="F30" s="9"/>
      <c r="G30" s="10"/>
      <c r="H30" s="8"/>
      <c r="I30" s="9"/>
      <c r="J30" s="10"/>
      <c r="K30" s="8"/>
      <c r="L30" s="9"/>
      <c r="M30" s="10"/>
      <c r="N30" s="8"/>
      <c r="O30" s="9"/>
      <c r="P30" s="10"/>
      <c r="Q30" s="46"/>
      <c r="R30" s="9"/>
      <c r="S30" s="91"/>
    </row>
    <row r="31" spans="1:35" ht="26">
      <c r="A31" s="5" t="s">
        <v>141</v>
      </c>
      <c r="B31" s="6"/>
      <c r="C31" s="32"/>
      <c r="D31" s="7"/>
      <c r="E31" s="6"/>
      <c r="F31" s="1"/>
      <c r="G31" s="7"/>
      <c r="H31" s="6"/>
      <c r="I31" s="1"/>
      <c r="J31" s="7"/>
      <c r="K31" s="6"/>
      <c r="L31" s="1"/>
      <c r="M31" s="7"/>
      <c r="N31" s="6"/>
      <c r="O31" s="1"/>
      <c r="P31" s="7"/>
      <c r="Q31" s="46"/>
      <c r="R31" s="9"/>
      <c r="S31" s="91"/>
    </row>
    <row r="32" spans="1:35">
      <c r="A32" s="5" t="s">
        <v>142</v>
      </c>
      <c r="B32" s="8"/>
      <c r="C32" s="31"/>
      <c r="D32" s="10"/>
      <c r="E32" s="8"/>
      <c r="F32" s="9"/>
      <c r="G32" s="10"/>
      <c r="H32" s="8"/>
      <c r="I32" s="9"/>
      <c r="J32" s="10"/>
      <c r="K32" s="8"/>
      <c r="L32" s="9"/>
      <c r="M32" s="10"/>
      <c r="N32" s="8"/>
      <c r="O32" s="9"/>
      <c r="P32" s="10"/>
      <c r="Q32" s="46"/>
      <c r="R32" s="9"/>
      <c r="S32" s="91"/>
    </row>
    <row r="33" spans="1:19">
      <c r="A33" s="5"/>
      <c r="B33" s="8"/>
      <c r="C33" s="31"/>
      <c r="D33" s="10"/>
      <c r="E33" s="8"/>
      <c r="F33" s="9"/>
      <c r="G33" s="10"/>
      <c r="H33" s="8"/>
      <c r="I33" s="9"/>
      <c r="J33" s="10"/>
      <c r="K33" s="8"/>
      <c r="L33" s="9"/>
      <c r="M33" s="10"/>
      <c r="N33" s="8"/>
      <c r="O33" s="9"/>
      <c r="P33" s="10"/>
      <c r="Q33" s="46"/>
      <c r="R33" s="9"/>
      <c r="S33" s="91"/>
    </row>
    <row r="34" spans="1:19" ht="26">
      <c r="A34" s="24" t="s">
        <v>144</v>
      </c>
      <c r="B34" s="8"/>
      <c r="C34" s="31"/>
      <c r="D34" s="10"/>
      <c r="E34" s="8"/>
      <c r="F34" s="9"/>
      <c r="G34" s="10"/>
      <c r="H34" s="8"/>
      <c r="I34" s="9"/>
      <c r="J34" s="10"/>
      <c r="K34" s="8"/>
      <c r="L34" s="9"/>
      <c r="M34" s="10"/>
      <c r="N34" s="8"/>
      <c r="O34" s="9"/>
      <c r="P34" s="10"/>
      <c r="Q34" s="46"/>
      <c r="R34" s="9"/>
      <c r="S34" s="91"/>
    </row>
    <row r="35" spans="1:19">
      <c r="A35" s="5"/>
      <c r="B35" s="8"/>
      <c r="C35" s="31"/>
      <c r="D35" s="10"/>
      <c r="E35" s="8"/>
      <c r="F35" s="9"/>
      <c r="G35" s="10"/>
      <c r="H35" s="8"/>
      <c r="I35" s="9"/>
      <c r="J35" s="10"/>
      <c r="K35" s="8"/>
      <c r="L35" s="9"/>
      <c r="M35" s="10"/>
      <c r="N35" s="8"/>
      <c r="O35" s="9"/>
      <c r="P35" s="10"/>
      <c r="Q35" s="46"/>
      <c r="R35" s="9"/>
      <c r="S35" s="87"/>
    </row>
    <row r="36" spans="1:19">
      <c r="A36" s="25" t="s">
        <v>179</v>
      </c>
      <c r="B36" s="8"/>
      <c r="C36" s="31"/>
      <c r="D36" s="10"/>
      <c r="E36" s="8"/>
      <c r="F36" s="9"/>
      <c r="G36" s="10"/>
      <c r="H36" s="8"/>
      <c r="I36" s="9"/>
      <c r="J36" s="10"/>
      <c r="K36" s="8"/>
      <c r="L36" s="9"/>
      <c r="M36" s="10"/>
      <c r="N36" s="8"/>
      <c r="O36" s="9"/>
      <c r="P36" s="10"/>
      <c r="Q36" s="46"/>
      <c r="R36" s="9"/>
      <c r="S36" s="87"/>
    </row>
    <row r="37" spans="1:19">
      <c r="A37" s="5" t="s">
        <v>156</v>
      </c>
      <c r="B37" s="8">
        <f>'[2]71 Inst Rent'!B36</f>
        <v>1</v>
      </c>
      <c r="C37" s="31"/>
      <c r="D37" s="10"/>
      <c r="E37" s="8"/>
      <c r="F37" s="9"/>
      <c r="G37" s="10"/>
      <c r="H37" s="8"/>
      <c r="I37" s="9"/>
      <c r="J37" s="10"/>
      <c r="K37" s="8"/>
      <c r="L37" s="9"/>
      <c r="M37" s="10"/>
      <c r="N37" s="8"/>
      <c r="O37" s="9"/>
      <c r="P37" s="10"/>
      <c r="Q37" s="46"/>
      <c r="R37" s="9"/>
      <c r="S37" s="87"/>
    </row>
    <row r="38" spans="1:19">
      <c r="A38" s="5" t="s">
        <v>157</v>
      </c>
      <c r="B38" s="8">
        <f>'[2]71 Inst Rent'!B37</f>
        <v>0</v>
      </c>
      <c r="C38" s="31"/>
      <c r="D38" s="10"/>
      <c r="E38" s="8"/>
      <c r="F38" s="9"/>
      <c r="G38" s="10"/>
      <c r="H38" s="8"/>
      <c r="I38" s="9"/>
      <c r="J38" s="10"/>
      <c r="K38" s="8"/>
      <c r="L38" s="9"/>
      <c r="M38" s="10"/>
      <c r="N38" s="8"/>
      <c r="O38" s="9"/>
      <c r="P38" s="10"/>
      <c r="Q38" s="46"/>
      <c r="R38" s="9"/>
      <c r="S38" s="87"/>
    </row>
    <row r="39" spans="1:19">
      <c r="A39" s="5" t="s">
        <v>158</v>
      </c>
      <c r="B39" s="8">
        <f>'[2]71 Inst Rent'!B38</f>
        <v>0</v>
      </c>
      <c r="C39" s="31"/>
      <c r="D39" s="10"/>
      <c r="E39" s="8"/>
      <c r="F39" s="9"/>
      <c r="G39" s="10"/>
      <c r="H39" s="8"/>
      <c r="I39" s="9"/>
      <c r="J39" s="10"/>
      <c r="K39" s="8"/>
      <c r="L39" s="9"/>
      <c r="M39" s="10"/>
      <c r="N39" s="8"/>
      <c r="O39" s="9"/>
      <c r="P39" s="10"/>
      <c r="Q39" s="46"/>
      <c r="R39" s="9"/>
      <c r="S39" s="87"/>
    </row>
    <row r="40" spans="1:19">
      <c r="A40" s="5" t="s">
        <v>180</v>
      </c>
      <c r="B40" s="8">
        <f>'[2]71 Inst Rent'!B39</f>
        <v>1</v>
      </c>
      <c r="C40" s="31"/>
      <c r="D40" s="10"/>
      <c r="E40" s="8"/>
      <c r="F40" s="9"/>
      <c r="G40" s="10"/>
      <c r="H40" s="8"/>
      <c r="I40" s="9"/>
      <c r="J40" s="10"/>
      <c r="K40" s="8"/>
      <c r="L40" s="9"/>
      <c r="M40" s="10"/>
      <c r="N40" s="8"/>
      <c r="O40" s="9"/>
      <c r="P40" s="10"/>
      <c r="Q40" s="83"/>
      <c r="R40" s="1"/>
      <c r="S40" s="89"/>
    </row>
    <row r="41" spans="1:19">
      <c r="A41" t="s">
        <v>160</v>
      </c>
      <c r="B41" s="8">
        <f>'[2]71 Inst Rent'!B40</f>
        <v>1</v>
      </c>
      <c r="C41" s="31"/>
      <c r="D41" s="10"/>
      <c r="E41" s="8"/>
      <c r="F41" s="9"/>
      <c r="G41" s="10"/>
      <c r="H41" s="8"/>
      <c r="I41" s="9"/>
      <c r="J41" s="10"/>
      <c r="K41" s="8"/>
      <c r="L41" s="9"/>
      <c r="M41" s="10"/>
      <c r="N41" s="8"/>
      <c r="O41" s="9"/>
      <c r="P41" s="10"/>
      <c r="Q41" s="46"/>
      <c r="R41" s="9"/>
      <c r="S41" s="87"/>
    </row>
    <row r="42" spans="1:19">
      <c r="A42" t="s">
        <v>161</v>
      </c>
      <c r="B42" s="8">
        <f>'[2]71 Inst Rent'!B41</f>
        <v>0</v>
      </c>
      <c r="C42" s="31"/>
      <c r="D42" s="10"/>
      <c r="E42" s="8"/>
      <c r="F42" s="9"/>
      <c r="G42" s="10"/>
      <c r="H42" s="8"/>
      <c r="I42" s="9"/>
      <c r="J42" s="10"/>
      <c r="K42" s="8"/>
      <c r="L42" s="9"/>
      <c r="M42" s="10"/>
      <c r="N42" s="8"/>
      <c r="O42" s="9"/>
      <c r="P42" s="10"/>
      <c r="Q42" s="82"/>
      <c r="R42" s="50"/>
      <c r="S42" s="92"/>
    </row>
    <row r="43" spans="1:19">
      <c r="A43" t="s">
        <v>162</v>
      </c>
      <c r="B43" s="8">
        <f>'[2]71 Inst Rent'!B42</f>
        <v>1</v>
      </c>
      <c r="C43" s="31"/>
      <c r="D43" s="10"/>
      <c r="E43" s="8"/>
      <c r="F43" s="9"/>
      <c r="G43" s="10"/>
      <c r="H43" s="8"/>
      <c r="I43" s="9"/>
      <c r="J43" s="10"/>
      <c r="K43" s="8"/>
      <c r="L43" s="9"/>
      <c r="M43" s="10"/>
      <c r="N43" s="8"/>
      <c r="O43" s="9"/>
      <c r="P43" s="10"/>
      <c r="Q43" s="1"/>
      <c r="R43" s="1"/>
      <c r="S43" s="89"/>
    </row>
    <row r="44" spans="1:19">
      <c r="A44" t="s">
        <v>163</v>
      </c>
      <c r="B44" s="8">
        <f>'[2]71 Inst Rent'!B43</f>
        <v>0</v>
      </c>
      <c r="C44" s="31"/>
      <c r="D44" s="10"/>
      <c r="E44" s="8"/>
      <c r="F44" s="9"/>
      <c r="G44" s="10"/>
      <c r="H44" s="8"/>
      <c r="I44" s="9"/>
      <c r="J44" s="10"/>
      <c r="K44" s="8"/>
      <c r="L44" s="9"/>
      <c r="M44" s="10"/>
      <c r="N44" s="8"/>
      <c r="O44" s="9"/>
      <c r="P44" s="10"/>
      <c r="Q44" s="9"/>
      <c r="R44" s="9"/>
      <c r="S44" s="87"/>
    </row>
    <row r="45" spans="1:19">
      <c r="A45" t="s">
        <v>87</v>
      </c>
      <c r="B45" s="8">
        <f>'[2]71 Inst Rent'!B44</f>
        <v>1</v>
      </c>
      <c r="C45" s="31"/>
      <c r="D45" s="10"/>
      <c r="E45" s="8"/>
      <c r="F45" s="9"/>
      <c r="G45" s="10"/>
      <c r="H45" s="8"/>
      <c r="I45" s="9"/>
      <c r="J45" s="10"/>
      <c r="K45" s="8"/>
      <c r="L45" s="9"/>
      <c r="M45" s="10"/>
      <c r="N45" s="8"/>
      <c r="O45" s="9"/>
      <c r="P45" s="10"/>
      <c r="Q45" s="24"/>
      <c r="R45" s="1"/>
      <c r="S45" s="89"/>
    </row>
    <row r="46" spans="1:19">
      <c r="A46" t="s">
        <v>181</v>
      </c>
      <c r="B46" s="8">
        <f>'[2]71 Inst Rent'!B45</f>
        <v>0</v>
      </c>
      <c r="C46" s="31"/>
      <c r="D46" s="10"/>
      <c r="E46" s="8"/>
      <c r="F46" s="9"/>
      <c r="G46" s="10"/>
      <c r="H46" s="8"/>
      <c r="I46" s="9"/>
      <c r="J46" s="10"/>
      <c r="K46" s="8"/>
      <c r="L46" s="9"/>
      <c r="M46" s="10"/>
      <c r="N46" s="8"/>
      <c r="O46" s="9"/>
      <c r="P46" s="10"/>
      <c r="Q46" s="50"/>
      <c r="R46" s="50"/>
      <c r="S46" s="92"/>
    </row>
    <row r="47" spans="1:19">
      <c r="B47" s="16"/>
      <c r="C47" s="31"/>
      <c r="D47" s="10"/>
      <c r="E47" s="8"/>
      <c r="F47" s="9"/>
      <c r="G47" s="10"/>
      <c r="H47" s="8"/>
      <c r="I47" s="9"/>
      <c r="J47" s="10"/>
      <c r="K47" s="8"/>
      <c r="L47" s="9"/>
      <c r="M47" s="10"/>
      <c r="N47" s="8"/>
      <c r="O47" s="9"/>
      <c r="P47" s="10"/>
      <c r="Q47" s="1"/>
      <c r="R47" s="56"/>
      <c r="S47" s="93"/>
    </row>
    <row r="48" spans="1:19">
      <c r="B48" s="16"/>
      <c r="C48" s="31"/>
      <c r="D48" s="10"/>
      <c r="E48" s="8"/>
      <c r="F48" s="9"/>
      <c r="G48" s="10"/>
      <c r="H48" s="8"/>
      <c r="I48" s="9"/>
      <c r="J48" s="10"/>
      <c r="K48" s="8"/>
      <c r="L48" s="9"/>
      <c r="M48" s="10"/>
      <c r="N48" s="8"/>
      <c r="O48" s="9"/>
      <c r="P48" s="10"/>
      <c r="Q48" s="50"/>
      <c r="R48" s="50"/>
      <c r="S48" s="92"/>
    </row>
    <row r="49" spans="1:19">
      <c r="B49" s="8"/>
      <c r="C49" s="31"/>
      <c r="D49" s="10"/>
      <c r="E49" s="8"/>
      <c r="F49" s="9"/>
      <c r="G49" s="10"/>
      <c r="H49" s="8"/>
      <c r="I49" s="9"/>
      <c r="J49" s="10"/>
      <c r="K49" s="8"/>
      <c r="L49" s="9"/>
      <c r="M49" s="10"/>
      <c r="N49" s="8"/>
      <c r="O49" s="9"/>
      <c r="P49" s="10"/>
      <c r="Q49" s="1"/>
      <c r="R49" s="1"/>
      <c r="S49" s="89"/>
    </row>
    <row r="50" spans="1:19">
      <c r="B50" s="8"/>
      <c r="C50" s="31"/>
      <c r="D50" s="10"/>
      <c r="E50" s="8"/>
      <c r="F50" s="9"/>
      <c r="G50" s="10"/>
      <c r="H50" s="8"/>
      <c r="I50" s="9"/>
      <c r="J50" s="10"/>
      <c r="K50" s="8"/>
      <c r="L50" s="9"/>
      <c r="M50" s="10"/>
      <c r="N50" s="8"/>
      <c r="O50" s="9"/>
      <c r="P50" s="10"/>
      <c r="Q50" s="9"/>
      <c r="R50" s="9"/>
      <c r="S50" s="87"/>
    </row>
    <row r="51" spans="1:19" ht="14" thickBot="1">
      <c r="B51" s="12"/>
      <c r="C51" s="33"/>
      <c r="D51" s="14"/>
      <c r="E51" s="12"/>
      <c r="F51" s="13"/>
      <c r="G51" s="14"/>
      <c r="H51" s="12"/>
      <c r="I51" s="13"/>
      <c r="J51" s="14"/>
      <c r="K51" s="12"/>
      <c r="L51" s="13"/>
      <c r="M51" s="14"/>
      <c r="N51" s="12"/>
      <c r="O51" s="13"/>
      <c r="P51" s="14"/>
      <c r="Q51" s="9"/>
      <c r="R51" s="9"/>
      <c r="S51" s="87"/>
    </row>
    <row r="52" spans="1:19">
      <c r="Q52" s="9"/>
      <c r="R52" s="9"/>
      <c r="S52" s="87"/>
    </row>
    <row r="53" spans="1:19">
      <c r="Q53" s="9"/>
      <c r="R53" s="9"/>
      <c r="S53" s="87"/>
    </row>
    <row r="54" spans="1:19">
      <c r="A54" s="37" t="s">
        <v>185</v>
      </c>
      <c r="B54" s="49">
        <v>1729631</v>
      </c>
      <c r="C54" s="50">
        <v>1926631</v>
      </c>
      <c r="D54" s="51">
        <v>1666490.432</v>
      </c>
      <c r="E54" s="49">
        <v>1673631</v>
      </c>
      <c r="F54" s="50">
        <v>1839631</v>
      </c>
      <c r="G54" s="51">
        <v>438532.4</v>
      </c>
      <c r="H54" s="49">
        <v>1871631</v>
      </c>
      <c r="I54" s="50">
        <v>2012631</v>
      </c>
      <c r="J54" s="51">
        <v>0</v>
      </c>
      <c r="K54" s="49">
        <v>1879631</v>
      </c>
      <c r="L54" s="50">
        <v>2033631</v>
      </c>
      <c r="M54" s="51">
        <v>0</v>
      </c>
      <c r="N54" s="49">
        <v>1889631</v>
      </c>
      <c r="O54" s="50">
        <v>2125631</v>
      </c>
      <c r="P54" s="51">
        <v>0</v>
      </c>
      <c r="Q54" s="80">
        <v>7314524</v>
      </c>
      <c r="R54" s="50">
        <v>8011524</v>
      </c>
      <c r="S54" s="87"/>
    </row>
    <row r="55" spans="1:19">
      <c r="A55" s="2"/>
      <c r="B55" s="49"/>
      <c r="C55" s="50"/>
      <c r="D55" s="51"/>
      <c r="E55" s="49"/>
      <c r="F55" s="50"/>
      <c r="G55" s="51"/>
      <c r="H55" s="49"/>
      <c r="I55" s="50"/>
      <c r="J55" s="51"/>
      <c r="K55" s="49"/>
      <c r="L55" s="50"/>
      <c r="M55" s="51"/>
      <c r="N55" s="49"/>
      <c r="O55" s="50"/>
      <c r="P55" s="51"/>
      <c r="Q55" s="80"/>
      <c r="R55" s="50"/>
      <c r="S55" s="87"/>
    </row>
    <row r="56" spans="1:19">
      <c r="A56" s="37" t="s">
        <v>186</v>
      </c>
      <c r="B56" s="49">
        <v>1481000</v>
      </c>
      <c r="C56" s="50">
        <v>1523000</v>
      </c>
      <c r="D56" s="51">
        <v>1418443.6</v>
      </c>
      <c r="E56" s="49">
        <v>1425740</v>
      </c>
      <c r="F56" s="50">
        <v>1452280</v>
      </c>
      <c r="G56" s="51">
        <v>353249.92</v>
      </c>
      <c r="H56" s="49">
        <v>1410940</v>
      </c>
      <c r="I56" s="50">
        <v>1457280</v>
      </c>
      <c r="J56" s="51">
        <v>0</v>
      </c>
      <c r="K56" s="49">
        <v>1386940</v>
      </c>
      <c r="L56" s="50">
        <v>1436280</v>
      </c>
      <c r="M56" s="51">
        <v>0</v>
      </c>
      <c r="N56" s="49">
        <v>1386940</v>
      </c>
      <c r="O56" s="50">
        <v>1452280</v>
      </c>
      <c r="P56" s="51">
        <v>0</v>
      </c>
      <c r="Q56" s="80">
        <v>5610560</v>
      </c>
      <c r="R56" s="80">
        <v>5798120</v>
      </c>
      <c r="S56" s="87"/>
    </row>
    <row r="57" spans="1:19">
      <c r="A57" s="3"/>
      <c r="B57" s="55"/>
      <c r="C57" s="56"/>
      <c r="D57" s="57"/>
      <c r="E57" s="55"/>
      <c r="F57" s="56"/>
      <c r="G57" s="57"/>
      <c r="H57" s="55"/>
      <c r="I57" s="56"/>
      <c r="J57" s="57"/>
      <c r="K57" s="55"/>
      <c r="L57" s="56"/>
      <c r="M57" s="57"/>
      <c r="N57" s="55"/>
      <c r="O57" s="56"/>
      <c r="P57" s="57"/>
      <c r="Q57" s="54"/>
      <c r="R57" s="56"/>
      <c r="S57" s="87"/>
    </row>
    <row r="58" spans="1:19">
      <c r="A58" s="34" t="s">
        <v>117</v>
      </c>
      <c r="B58" s="55">
        <v>248631</v>
      </c>
      <c r="C58" s="56">
        <v>403631</v>
      </c>
      <c r="D58" s="57">
        <v>248046.83199999994</v>
      </c>
      <c r="E58" s="55">
        <v>247891</v>
      </c>
      <c r="F58" s="56">
        <v>387351</v>
      </c>
      <c r="G58" s="57">
        <v>85282.48</v>
      </c>
      <c r="H58" s="55">
        <v>460691</v>
      </c>
      <c r="I58" s="56">
        <v>555351</v>
      </c>
      <c r="J58" s="57">
        <v>0</v>
      </c>
      <c r="K58" s="55">
        <v>492691</v>
      </c>
      <c r="L58" s="56">
        <v>597351</v>
      </c>
      <c r="M58" s="57">
        <v>0</v>
      </c>
      <c r="N58" s="55">
        <v>502691</v>
      </c>
      <c r="O58" s="56">
        <v>673351</v>
      </c>
      <c r="P58" s="57">
        <v>0</v>
      </c>
      <c r="Q58" s="32">
        <v>1703964</v>
      </c>
      <c r="R58" s="32">
        <v>2213404</v>
      </c>
      <c r="S58" s="87"/>
    </row>
    <row r="59" spans="1:19">
      <c r="B59" s="49"/>
      <c r="C59" s="50"/>
      <c r="D59" s="51"/>
      <c r="E59" s="49"/>
      <c r="F59" s="50"/>
      <c r="G59" s="51"/>
      <c r="H59" s="49"/>
      <c r="I59" s="50"/>
      <c r="J59" s="51"/>
      <c r="K59" s="49"/>
      <c r="L59" s="50"/>
      <c r="M59" s="51"/>
      <c r="N59" s="49"/>
      <c r="O59" s="50"/>
      <c r="P59" s="51"/>
      <c r="Q59" s="50"/>
      <c r="R59" s="50"/>
      <c r="S59" s="87"/>
    </row>
    <row r="60" spans="1:19">
      <c r="A60" s="4" t="s">
        <v>173</v>
      </c>
      <c r="B60" s="11"/>
      <c r="C60" s="50"/>
      <c r="D60" s="51"/>
      <c r="E60" s="49"/>
      <c r="F60" s="50"/>
      <c r="G60" s="51"/>
      <c r="H60" s="49"/>
      <c r="I60" s="50"/>
      <c r="J60" s="51"/>
      <c r="K60" s="49"/>
      <c r="L60" s="50"/>
      <c r="M60" s="51"/>
      <c r="N60" s="49"/>
      <c r="O60" s="50"/>
      <c r="P60" s="51"/>
      <c r="Q60" s="81"/>
      <c r="R60" s="50"/>
      <c r="S60" s="87"/>
    </row>
    <row r="61" spans="1:19">
      <c r="B61" s="11"/>
      <c r="C61" s="50"/>
      <c r="D61" s="51"/>
      <c r="E61" s="49"/>
      <c r="F61" s="50"/>
      <c r="G61" s="51"/>
      <c r="H61" s="49"/>
      <c r="I61" s="50"/>
      <c r="J61" s="51"/>
      <c r="K61" s="49"/>
      <c r="L61" s="50"/>
      <c r="M61" s="51"/>
      <c r="N61" s="49"/>
      <c r="O61" s="50"/>
      <c r="P61" s="51"/>
      <c r="Q61" s="50"/>
      <c r="R61" s="50"/>
      <c r="S61" s="87"/>
    </row>
    <row r="62" spans="1:19" ht="14" thickBot="1">
      <c r="A62" s="73" t="s">
        <v>167</v>
      </c>
      <c r="B62" s="11">
        <v>0.34</v>
      </c>
      <c r="C62" s="40">
        <v>0.34</v>
      </c>
      <c r="D62" s="44">
        <v>0.34</v>
      </c>
      <c r="E62" s="11">
        <v>0.34</v>
      </c>
      <c r="F62" s="40">
        <v>0.34</v>
      </c>
      <c r="G62" s="44">
        <v>0.34</v>
      </c>
      <c r="H62" s="11">
        <v>0.34</v>
      </c>
      <c r="I62" s="40">
        <v>0.34</v>
      </c>
      <c r="J62" s="44">
        <v>0.34</v>
      </c>
      <c r="K62" s="11">
        <v>0.34</v>
      </c>
      <c r="L62" s="40">
        <v>0.34</v>
      </c>
      <c r="M62" s="44">
        <v>0.34</v>
      </c>
      <c r="N62" s="11">
        <v>0.34</v>
      </c>
      <c r="O62" s="40">
        <v>0.34</v>
      </c>
      <c r="P62" s="44">
        <v>0.34</v>
      </c>
      <c r="Q62" s="40"/>
      <c r="R62" s="40"/>
      <c r="S62" s="96"/>
    </row>
    <row r="63" spans="1:19">
      <c r="A63" s="37" t="s">
        <v>118</v>
      </c>
      <c r="B63" s="49">
        <v>70796</v>
      </c>
      <c r="C63" s="50">
        <v>70796</v>
      </c>
      <c r="D63" s="51">
        <v>71006</v>
      </c>
      <c r="E63" s="49">
        <v>70796</v>
      </c>
      <c r="F63" s="50">
        <v>70796</v>
      </c>
      <c r="G63" s="51">
        <v>22150.6</v>
      </c>
      <c r="H63" s="49">
        <v>70796</v>
      </c>
      <c r="I63" s="50">
        <v>70796</v>
      </c>
      <c r="J63" s="51">
        <v>0</v>
      </c>
      <c r="K63" s="49">
        <v>70796</v>
      </c>
      <c r="L63" s="50">
        <v>70796</v>
      </c>
      <c r="M63" s="51">
        <v>0</v>
      </c>
      <c r="N63" s="49">
        <v>70796</v>
      </c>
      <c r="O63" s="50">
        <v>70796</v>
      </c>
      <c r="P63" s="51">
        <v>0</v>
      </c>
      <c r="Q63" s="80">
        <v>283184</v>
      </c>
      <c r="R63" s="80">
        <v>283184</v>
      </c>
    </row>
    <row r="64" spans="1:19">
      <c r="A64" s="73" t="s">
        <v>168</v>
      </c>
      <c r="B64" s="11">
        <v>0.34</v>
      </c>
      <c r="C64" s="40">
        <v>0.34</v>
      </c>
      <c r="D64" s="44">
        <v>0.34</v>
      </c>
      <c r="E64" s="11">
        <v>0.34</v>
      </c>
      <c r="F64" s="40">
        <v>0.34</v>
      </c>
      <c r="G64" s="44">
        <v>0.34</v>
      </c>
      <c r="H64" s="11">
        <v>0.34</v>
      </c>
      <c r="I64" s="40">
        <v>0.34</v>
      </c>
      <c r="J64" s="44">
        <v>0.34</v>
      </c>
      <c r="K64" s="11">
        <v>0.34</v>
      </c>
      <c r="L64" s="40">
        <v>0.34</v>
      </c>
      <c r="M64" s="44">
        <v>0.34</v>
      </c>
      <c r="N64" s="11">
        <v>0.34</v>
      </c>
      <c r="O64" s="40">
        <v>0.34</v>
      </c>
      <c r="P64" s="44">
        <v>0.34</v>
      </c>
      <c r="Q64" s="80"/>
      <c r="R64" s="50"/>
    </row>
    <row r="65" spans="1:18">
      <c r="A65" s="37" t="s">
        <v>119</v>
      </c>
      <c r="B65" s="49">
        <v>29300</v>
      </c>
      <c r="C65" s="50">
        <v>29300</v>
      </c>
      <c r="D65" s="51">
        <v>29386</v>
      </c>
      <c r="E65" s="49">
        <v>29300</v>
      </c>
      <c r="F65" s="50">
        <v>29300</v>
      </c>
      <c r="G65" s="51">
        <v>7504.27</v>
      </c>
      <c r="H65" s="49">
        <v>29300</v>
      </c>
      <c r="I65" s="50">
        <v>29300</v>
      </c>
      <c r="J65" s="51">
        <v>0</v>
      </c>
      <c r="K65" s="49">
        <v>29300</v>
      </c>
      <c r="L65" s="50">
        <v>29300</v>
      </c>
      <c r="M65" s="51">
        <v>0</v>
      </c>
      <c r="N65" s="49">
        <v>29300</v>
      </c>
      <c r="O65" s="50">
        <v>29300</v>
      </c>
      <c r="P65" s="51">
        <v>0</v>
      </c>
      <c r="Q65" s="80">
        <v>117200</v>
      </c>
      <c r="R65" s="80">
        <v>117200</v>
      </c>
    </row>
    <row r="66" spans="1:18">
      <c r="A66" s="73" t="s">
        <v>169</v>
      </c>
      <c r="B66" s="11">
        <v>0.34</v>
      </c>
      <c r="C66" s="40">
        <v>0.34</v>
      </c>
      <c r="D66" s="44">
        <v>0.34</v>
      </c>
      <c r="E66" s="11">
        <v>0.34</v>
      </c>
      <c r="F66" s="40">
        <v>0.34</v>
      </c>
      <c r="G66" s="44">
        <v>0.34</v>
      </c>
      <c r="H66" s="11">
        <v>0.34</v>
      </c>
      <c r="I66" s="40">
        <v>0.34</v>
      </c>
      <c r="J66" s="44">
        <v>0.34</v>
      </c>
      <c r="K66" s="11">
        <v>0.34</v>
      </c>
      <c r="L66" s="40">
        <v>0.34</v>
      </c>
      <c r="M66" s="44">
        <v>0.34</v>
      </c>
      <c r="N66" s="11">
        <v>0.34</v>
      </c>
      <c r="O66" s="40">
        <v>0.34</v>
      </c>
      <c r="P66" s="44">
        <v>0.34</v>
      </c>
      <c r="Q66" s="80"/>
      <c r="R66" s="50"/>
    </row>
    <row r="67" spans="1:18">
      <c r="A67" s="43" t="s">
        <v>120</v>
      </c>
      <c r="B67" s="55">
        <v>20400</v>
      </c>
      <c r="C67" s="56">
        <v>20400</v>
      </c>
      <c r="D67" s="57">
        <v>20460</v>
      </c>
      <c r="E67" s="55">
        <v>20400</v>
      </c>
      <c r="F67" s="56">
        <v>20400</v>
      </c>
      <c r="G67" s="57">
        <v>4705.3</v>
      </c>
      <c r="H67" s="55">
        <v>20400</v>
      </c>
      <c r="I67" s="56">
        <v>20400</v>
      </c>
      <c r="J67" s="57">
        <v>0</v>
      </c>
      <c r="K67" s="55">
        <v>20400</v>
      </c>
      <c r="L67" s="56">
        <v>20400</v>
      </c>
      <c r="M67" s="57">
        <v>0</v>
      </c>
      <c r="N67" s="55">
        <v>20400</v>
      </c>
      <c r="O67" s="56">
        <v>20400</v>
      </c>
      <c r="P67" s="57">
        <v>0</v>
      </c>
      <c r="Q67" s="54">
        <v>81600</v>
      </c>
      <c r="R67" s="54">
        <v>81600</v>
      </c>
    </row>
    <row r="68" spans="1:18">
      <c r="A68" s="43"/>
      <c r="B68" s="55">
        <v>120496</v>
      </c>
      <c r="C68" s="56">
        <v>120496</v>
      </c>
      <c r="D68" s="57">
        <v>120852</v>
      </c>
      <c r="E68" s="55">
        <v>120496</v>
      </c>
      <c r="F68" s="56">
        <v>120496</v>
      </c>
      <c r="G68" s="57">
        <v>34360.17</v>
      </c>
      <c r="H68" s="55">
        <v>120496</v>
      </c>
      <c r="I68" s="56">
        <v>120496</v>
      </c>
      <c r="J68" s="57">
        <v>0</v>
      </c>
      <c r="K68" s="55">
        <v>120496</v>
      </c>
      <c r="L68" s="56">
        <v>120496</v>
      </c>
      <c r="M68" s="57">
        <v>0</v>
      </c>
      <c r="N68" s="55">
        <v>120496</v>
      </c>
      <c r="O68" s="56">
        <v>120496</v>
      </c>
      <c r="P68" s="57">
        <v>0</v>
      </c>
      <c r="Q68" s="32">
        <v>481984</v>
      </c>
      <c r="R68" s="32">
        <v>481984</v>
      </c>
    </row>
    <row r="69" spans="1:18">
      <c r="A69" s="43"/>
      <c r="B69" s="49"/>
      <c r="C69" s="50"/>
      <c r="D69" s="51"/>
      <c r="E69" s="49"/>
      <c r="F69" s="50"/>
      <c r="G69" s="51"/>
      <c r="H69" s="49"/>
      <c r="I69" s="50"/>
      <c r="J69" s="51"/>
      <c r="K69" s="49"/>
      <c r="L69" s="50"/>
      <c r="M69" s="51"/>
      <c r="N69" s="49"/>
      <c r="O69" s="50"/>
      <c r="P69" s="51"/>
      <c r="Q69" s="50"/>
      <c r="R69" s="50"/>
    </row>
    <row r="70" spans="1:18">
      <c r="A70" s="34" t="s">
        <v>175</v>
      </c>
      <c r="B70" s="55">
        <v>128135</v>
      </c>
      <c r="C70" s="56">
        <v>283135</v>
      </c>
      <c r="D70" s="57">
        <v>127194.83199999994</v>
      </c>
      <c r="E70" s="55">
        <v>127395</v>
      </c>
      <c r="F70" s="56">
        <v>266855</v>
      </c>
      <c r="G70" s="57">
        <v>50922.31</v>
      </c>
      <c r="H70" s="55">
        <v>340195</v>
      </c>
      <c r="I70" s="56">
        <v>434855</v>
      </c>
      <c r="J70" s="57">
        <v>0</v>
      </c>
      <c r="K70" s="55">
        <v>372195</v>
      </c>
      <c r="L70" s="56">
        <v>476855</v>
      </c>
      <c r="M70" s="57">
        <v>0</v>
      </c>
      <c r="N70" s="55">
        <v>382195</v>
      </c>
      <c r="O70" s="56">
        <v>552855</v>
      </c>
      <c r="P70" s="57">
        <v>0</v>
      </c>
      <c r="Q70" s="56">
        <v>1221980</v>
      </c>
      <c r="R70" s="56">
        <v>1731420</v>
      </c>
    </row>
    <row r="71" spans="1:18" ht="14" thickBot="1"/>
    <row r="72" spans="1:18">
      <c r="B72" s="212" t="s">
        <v>188</v>
      </c>
      <c r="C72" s="213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5"/>
    </row>
    <row r="73" spans="1:18">
      <c r="A73" s="37" t="s">
        <v>185</v>
      </c>
      <c r="B73" s="49">
        <f>B54-B6</f>
        <v>0</v>
      </c>
      <c r="C73" s="50">
        <f t="shared" ref="C73:R77" si="5">C54-C6</f>
        <v>0</v>
      </c>
      <c r="D73" s="51">
        <f t="shared" si="5"/>
        <v>0</v>
      </c>
      <c r="E73" s="49">
        <f t="shared" si="5"/>
        <v>0</v>
      </c>
      <c r="F73" s="50">
        <f t="shared" si="5"/>
        <v>0</v>
      </c>
      <c r="G73" s="51">
        <f t="shared" si="5"/>
        <v>-900109.4</v>
      </c>
      <c r="H73" s="49">
        <f t="shared" si="5"/>
        <v>0</v>
      </c>
      <c r="I73" s="50">
        <f t="shared" si="5"/>
        <v>0</v>
      </c>
      <c r="J73" s="51">
        <f t="shared" si="5"/>
        <v>-1326665.01</v>
      </c>
      <c r="K73" s="49">
        <f t="shared" si="5"/>
        <v>0</v>
      </c>
      <c r="L73" s="50">
        <f t="shared" si="5"/>
        <v>0</v>
      </c>
      <c r="M73" s="51">
        <f t="shared" si="5"/>
        <v>-1695595.3360000001</v>
      </c>
      <c r="N73" s="49">
        <f t="shared" si="5"/>
        <v>0</v>
      </c>
      <c r="O73" s="50">
        <f t="shared" si="5"/>
        <v>0</v>
      </c>
      <c r="P73" s="51">
        <f t="shared" si="5"/>
        <v>-1679295.92</v>
      </c>
      <c r="Q73" s="80">
        <f t="shared" si="5"/>
        <v>0</v>
      </c>
      <c r="R73" s="51">
        <f t="shared" si="5"/>
        <v>0</v>
      </c>
    </row>
    <row r="74" spans="1:18">
      <c r="A74" s="2"/>
      <c r="B74" s="49"/>
      <c r="C74" s="50"/>
      <c r="D74" s="51"/>
      <c r="E74" s="49"/>
      <c r="F74" s="50"/>
      <c r="G74" s="51"/>
      <c r="H74" s="49"/>
      <c r="I74" s="50"/>
      <c r="J74" s="51"/>
      <c r="K74" s="49"/>
      <c r="L74" s="50"/>
      <c r="M74" s="51"/>
      <c r="N74" s="49"/>
      <c r="O74" s="50"/>
      <c r="P74" s="51"/>
      <c r="Q74" s="80"/>
      <c r="R74" s="51"/>
    </row>
    <row r="75" spans="1:18">
      <c r="A75" s="37" t="s">
        <v>186</v>
      </c>
      <c r="B75" s="49">
        <f>B56-B8</f>
        <v>0</v>
      </c>
      <c r="C75" s="50">
        <f t="shared" si="5"/>
        <v>0</v>
      </c>
      <c r="D75" s="51">
        <f t="shared" si="5"/>
        <v>0</v>
      </c>
      <c r="E75" s="49">
        <f t="shared" si="5"/>
        <v>0</v>
      </c>
      <c r="F75" s="50">
        <f t="shared" si="5"/>
        <v>0</v>
      </c>
      <c r="G75" s="51">
        <f t="shared" si="5"/>
        <v>-826951.88000000012</v>
      </c>
      <c r="H75" s="49">
        <f t="shared" si="5"/>
        <v>0</v>
      </c>
      <c r="I75" s="50">
        <f t="shared" si="5"/>
        <v>0</v>
      </c>
      <c r="J75" s="51">
        <f t="shared" si="5"/>
        <v>-1296561.5</v>
      </c>
      <c r="K75" s="49">
        <f t="shared" si="5"/>
        <v>0</v>
      </c>
      <c r="L75" s="50">
        <f t="shared" si="5"/>
        <v>0</v>
      </c>
      <c r="M75" s="51">
        <f t="shared" si="5"/>
        <v>-1381968.8940000001</v>
      </c>
      <c r="N75" s="49">
        <f t="shared" si="5"/>
        <v>0</v>
      </c>
      <c r="O75" s="50">
        <f t="shared" si="5"/>
        <v>0</v>
      </c>
      <c r="P75" s="51">
        <f t="shared" si="5"/>
        <v>-1155144.7500000002</v>
      </c>
      <c r="Q75" s="80">
        <f t="shared" si="5"/>
        <v>0</v>
      </c>
      <c r="R75" s="216">
        <f t="shared" si="5"/>
        <v>0</v>
      </c>
    </row>
    <row r="76" spans="1:18">
      <c r="A76" s="3"/>
      <c r="B76" s="55"/>
      <c r="C76" s="56"/>
      <c r="D76" s="57"/>
      <c r="E76" s="55"/>
      <c r="F76" s="56"/>
      <c r="G76" s="57"/>
      <c r="H76" s="55"/>
      <c r="I76" s="56"/>
      <c r="J76" s="57"/>
      <c r="K76" s="55"/>
      <c r="L76" s="56"/>
      <c r="M76" s="57"/>
      <c r="N76" s="55"/>
      <c r="O76" s="56"/>
      <c r="P76" s="57"/>
      <c r="Q76" s="54"/>
      <c r="R76" s="57"/>
    </row>
    <row r="77" spans="1:18">
      <c r="A77" s="34" t="s">
        <v>117</v>
      </c>
      <c r="B77" s="55">
        <f>B58-B10</f>
        <v>0</v>
      </c>
      <c r="C77" s="56">
        <f t="shared" si="5"/>
        <v>0</v>
      </c>
      <c r="D77" s="57">
        <f t="shared" si="5"/>
        <v>0</v>
      </c>
      <c r="E77" s="55">
        <f t="shared" si="5"/>
        <v>0</v>
      </c>
      <c r="F77" s="56">
        <f t="shared" si="5"/>
        <v>0</v>
      </c>
      <c r="G77" s="57">
        <f t="shared" si="5"/>
        <v>-73157.52</v>
      </c>
      <c r="H77" s="55">
        <f t="shared" si="5"/>
        <v>0</v>
      </c>
      <c r="I77" s="56">
        <f t="shared" si="5"/>
        <v>0</v>
      </c>
      <c r="J77" s="57">
        <f t="shared" si="5"/>
        <v>-30103.510000000009</v>
      </c>
      <c r="K77" s="55">
        <f t="shared" si="5"/>
        <v>0</v>
      </c>
      <c r="L77" s="56">
        <f t="shared" si="5"/>
        <v>0</v>
      </c>
      <c r="M77" s="57">
        <f t="shared" si="5"/>
        <v>-313626.44200000004</v>
      </c>
      <c r="N77" s="55">
        <f t="shared" si="5"/>
        <v>0</v>
      </c>
      <c r="O77" s="56">
        <f t="shared" si="5"/>
        <v>0</v>
      </c>
      <c r="P77" s="57">
        <f t="shared" si="5"/>
        <v>-524151.16999999969</v>
      </c>
      <c r="Q77" s="32">
        <f t="shared" si="5"/>
        <v>0</v>
      </c>
      <c r="R77" s="36">
        <f t="shared" si="5"/>
        <v>0</v>
      </c>
    </row>
    <row r="78" spans="1:18">
      <c r="B78" s="49"/>
      <c r="C78" s="50"/>
      <c r="D78" s="51"/>
      <c r="E78" s="49"/>
      <c r="F78" s="50"/>
      <c r="G78" s="51"/>
      <c r="H78" s="49"/>
      <c r="I78" s="50"/>
      <c r="J78" s="51"/>
      <c r="K78" s="49"/>
      <c r="L78" s="50"/>
      <c r="M78" s="51"/>
      <c r="N78" s="49"/>
      <c r="O78" s="50"/>
      <c r="P78" s="51"/>
      <c r="Q78" s="50"/>
      <c r="R78" s="51"/>
    </row>
    <row r="79" spans="1:18">
      <c r="A79" s="4" t="s">
        <v>173</v>
      </c>
      <c r="B79" s="11"/>
      <c r="C79" s="50"/>
      <c r="D79" s="51"/>
      <c r="E79" s="49"/>
      <c r="F79" s="50"/>
      <c r="G79" s="51"/>
      <c r="H79" s="49"/>
      <c r="I79" s="50"/>
      <c r="J79" s="51"/>
      <c r="K79" s="49"/>
      <c r="L79" s="50"/>
      <c r="M79" s="51"/>
      <c r="N79" s="49"/>
      <c r="O79" s="50"/>
      <c r="P79" s="51"/>
      <c r="Q79" s="81"/>
      <c r="R79" s="51"/>
    </row>
    <row r="80" spans="1:18">
      <c r="B80" s="11"/>
      <c r="C80" s="50"/>
      <c r="D80" s="51"/>
      <c r="E80" s="49"/>
      <c r="F80" s="50"/>
      <c r="G80" s="51"/>
      <c r="H80" s="49"/>
      <c r="I80" s="50"/>
      <c r="J80" s="51"/>
      <c r="K80" s="49"/>
      <c r="L80" s="50"/>
      <c r="M80" s="51"/>
      <c r="N80" s="49"/>
      <c r="O80" s="50"/>
      <c r="P80" s="51"/>
      <c r="Q80" s="50"/>
      <c r="R80" s="51"/>
    </row>
    <row r="81" spans="1:18">
      <c r="A81" s="73" t="s">
        <v>167</v>
      </c>
      <c r="B81" s="11"/>
      <c r="C81" s="40"/>
      <c r="D81" s="44"/>
      <c r="E81" s="11"/>
      <c r="F81" s="40"/>
      <c r="G81" s="44"/>
      <c r="H81" s="11"/>
      <c r="I81" s="40"/>
      <c r="J81" s="44"/>
      <c r="K81" s="11"/>
      <c r="L81" s="40"/>
      <c r="M81" s="44"/>
      <c r="N81" s="11"/>
      <c r="O81" s="40"/>
      <c r="P81" s="44"/>
      <c r="Q81" s="40"/>
      <c r="R81" s="44"/>
    </row>
    <row r="82" spans="1:18">
      <c r="A82" s="37" t="s">
        <v>118</v>
      </c>
      <c r="B82" s="49">
        <f>B63-B15</f>
        <v>0</v>
      </c>
      <c r="C82" s="50">
        <f t="shared" ref="C82:P86" si="6">C63-C15</f>
        <v>0</v>
      </c>
      <c r="D82" s="51">
        <f t="shared" si="6"/>
        <v>0</v>
      </c>
      <c r="E82" s="49">
        <f t="shared" si="6"/>
        <v>0</v>
      </c>
      <c r="F82" s="50">
        <f t="shared" si="6"/>
        <v>0</v>
      </c>
      <c r="G82" s="51">
        <f t="shared" si="6"/>
        <v>-43046.400000000001</v>
      </c>
      <c r="H82" s="49">
        <f t="shared" si="6"/>
        <v>0</v>
      </c>
      <c r="I82" s="50">
        <f t="shared" si="6"/>
        <v>0</v>
      </c>
      <c r="J82" s="51">
        <f t="shared" si="6"/>
        <v>-46989.630300000004</v>
      </c>
      <c r="K82" s="49">
        <f t="shared" si="6"/>
        <v>0</v>
      </c>
      <c r="L82" s="50">
        <f t="shared" si="6"/>
        <v>0</v>
      </c>
      <c r="M82" s="51">
        <f t="shared" si="6"/>
        <v>0</v>
      </c>
      <c r="N82" s="49">
        <f t="shared" si="6"/>
        <v>0</v>
      </c>
      <c r="O82" s="50">
        <f t="shared" si="6"/>
        <v>0</v>
      </c>
      <c r="P82" s="51">
        <f t="shared" si="6"/>
        <v>0</v>
      </c>
      <c r="Q82" s="80">
        <f>Q63-Q15</f>
        <v>0</v>
      </c>
      <c r="R82" s="216">
        <f>R63-R15</f>
        <v>0</v>
      </c>
    </row>
    <row r="83" spans="1:18">
      <c r="A83" s="73" t="s">
        <v>168</v>
      </c>
      <c r="B83" s="11"/>
      <c r="C83" s="40"/>
      <c r="D83" s="44"/>
      <c r="E83" s="11"/>
      <c r="F83" s="40"/>
      <c r="G83" s="44"/>
      <c r="H83" s="11"/>
      <c r="I83" s="40"/>
      <c r="J83" s="44"/>
      <c r="K83" s="11"/>
      <c r="L83" s="40"/>
      <c r="M83" s="44"/>
      <c r="N83" s="11"/>
      <c r="O83" s="40"/>
      <c r="P83" s="44"/>
      <c r="Q83" s="80"/>
      <c r="R83" s="51"/>
    </row>
    <row r="84" spans="1:18">
      <c r="A84" s="37" t="s">
        <v>119</v>
      </c>
      <c r="B84" s="49">
        <f>B65-B17</f>
        <v>0</v>
      </c>
      <c r="C84" s="50">
        <f t="shared" si="6"/>
        <v>0</v>
      </c>
      <c r="D84" s="51">
        <f t="shared" si="6"/>
        <v>0</v>
      </c>
      <c r="E84" s="49">
        <f t="shared" si="6"/>
        <v>0</v>
      </c>
      <c r="F84" s="50">
        <f t="shared" si="6"/>
        <v>0</v>
      </c>
      <c r="G84" s="51">
        <f t="shared" si="6"/>
        <v>-14826.73</v>
      </c>
      <c r="H84" s="49">
        <f t="shared" si="6"/>
        <v>0</v>
      </c>
      <c r="I84" s="50">
        <f t="shared" si="6"/>
        <v>0</v>
      </c>
      <c r="J84" s="51">
        <f t="shared" si="6"/>
        <v>-22069.366000000002</v>
      </c>
      <c r="K84" s="49">
        <f t="shared" si="6"/>
        <v>0</v>
      </c>
      <c r="L84" s="50">
        <f t="shared" si="6"/>
        <v>0</v>
      </c>
      <c r="M84" s="51">
        <f t="shared" si="6"/>
        <v>0</v>
      </c>
      <c r="N84" s="49">
        <f t="shared" si="6"/>
        <v>0</v>
      </c>
      <c r="O84" s="50">
        <f t="shared" si="6"/>
        <v>0</v>
      </c>
      <c r="P84" s="51">
        <f t="shared" si="6"/>
        <v>0</v>
      </c>
      <c r="Q84" s="80">
        <f>Q65-Q17</f>
        <v>0</v>
      </c>
      <c r="R84" s="216">
        <f>R65-R17</f>
        <v>0</v>
      </c>
    </row>
    <row r="85" spans="1:18">
      <c r="A85" s="73" t="s">
        <v>169</v>
      </c>
      <c r="B85" s="11"/>
      <c r="C85" s="40"/>
      <c r="D85" s="44"/>
      <c r="E85" s="11"/>
      <c r="F85" s="40"/>
      <c r="G85" s="44"/>
      <c r="H85" s="11"/>
      <c r="I85" s="40"/>
      <c r="J85" s="44"/>
      <c r="K85" s="11"/>
      <c r="L85" s="40"/>
      <c r="M85" s="44"/>
      <c r="N85" s="11"/>
      <c r="O85" s="40"/>
      <c r="P85" s="44"/>
      <c r="Q85" s="80"/>
      <c r="R85" s="51"/>
    </row>
    <row r="86" spans="1:18">
      <c r="A86" s="43" t="s">
        <v>120</v>
      </c>
      <c r="B86" s="55">
        <f>B67-B19</f>
        <v>0</v>
      </c>
      <c r="C86" s="56">
        <f t="shared" si="6"/>
        <v>0</v>
      </c>
      <c r="D86" s="57">
        <f t="shared" si="6"/>
        <v>0</v>
      </c>
      <c r="E86" s="55">
        <f t="shared" si="6"/>
        <v>0</v>
      </c>
      <c r="F86" s="56">
        <f t="shared" si="6"/>
        <v>0</v>
      </c>
      <c r="G86" s="57">
        <f t="shared" si="6"/>
        <v>-11929.7</v>
      </c>
      <c r="H86" s="55">
        <f t="shared" si="6"/>
        <v>0</v>
      </c>
      <c r="I86" s="56">
        <f t="shared" si="6"/>
        <v>0</v>
      </c>
      <c r="J86" s="57" t="e">
        <f t="shared" si="6"/>
        <v>#REF!</v>
      </c>
      <c r="K86" s="55">
        <f t="shared" si="6"/>
        <v>0</v>
      </c>
      <c r="L86" s="56">
        <f t="shared" si="6"/>
        <v>0</v>
      </c>
      <c r="M86" s="57" t="e">
        <f t="shared" si="6"/>
        <v>#REF!</v>
      </c>
      <c r="N86" s="55">
        <f t="shared" si="6"/>
        <v>0</v>
      </c>
      <c r="O86" s="56">
        <f t="shared" si="6"/>
        <v>0</v>
      </c>
      <c r="P86" s="57">
        <f t="shared" si="6"/>
        <v>0</v>
      </c>
      <c r="Q86" s="54">
        <f>Q67-Q19</f>
        <v>0</v>
      </c>
      <c r="R86" s="217">
        <f>R67-R19</f>
        <v>0</v>
      </c>
    </row>
    <row r="87" spans="1:18">
      <c r="A87" s="43"/>
      <c r="B87" s="55"/>
      <c r="C87" s="56"/>
      <c r="D87" s="57"/>
      <c r="E87" s="55"/>
      <c r="F87" s="56"/>
      <c r="G87" s="57"/>
      <c r="H87" s="55"/>
      <c r="I87" s="56"/>
      <c r="J87" s="57"/>
      <c r="K87" s="55"/>
      <c r="L87" s="56"/>
      <c r="M87" s="57"/>
      <c r="N87" s="55"/>
      <c r="O87" s="56"/>
      <c r="P87" s="57"/>
      <c r="Q87" s="32"/>
      <c r="R87" s="36"/>
    </row>
    <row r="88" spans="1:18">
      <c r="A88" s="43"/>
      <c r="B88" s="49"/>
      <c r="C88" s="50"/>
      <c r="D88" s="51"/>
      <c r="E88" s="49"/>
      <c r="F88" s="50"/>
      <c r="G88" s="51"/>
      <c r="H88" s="49"/>
      <c r="I88" s="50"/>
      <c r="J88" s="51"/>
      <c r="K88" s="49"/>
      <c r="L88" s="50"/>
      <c r="M88" s="51"/>
      <c r="N88" s="49"/>
      <c r="O88" s="50"/>
      <c r="P88" s="51"/>
      <c r="Q88" s="50"/>
      <c r="R88" s="51"/>
    </row>
    <row r="89" spans="1:18" ht="14" thickBot="1">
      <c r="A89" s="34" t="s">
        <v>175</v>
      </c>
      <c r="B89" s="68">
        <f>B70-B22</f>
        <v>0</v>
      </c>
      <c r="C89" s="69">
        <f t="shared" ref="C89:R89" si="7">C70-C22</f>
        <v>0</v>
      </c>
      <c r="D89" s="70">
        <f t="shared" si="7"/>
        <v>0</v>
      </c>
      <c r="E89" s="68">
        <f t="shared" si="7"/>
        <v>0</v>
      </c>
      <c r="F89" s="69">
        <f t="shared" si="7"/>
        <v>0</v>
      </c>
      <c r="G89" s="70">
        <f t="shared" si="7"/>
        <v>-3354.6900000000023</v>
      </c>
      <c r="H89" s="68">
        <f t="shared" si="7"/>
        <v>0</v>
      </c>
      <c r="I89" s="69">
        <f t="shared" si="7"/>
        <v>0</v>
      </c>
      <c r="J89" s="70" t="e">
        <f t="shared" si="7"/>
        <v>#REF!</v>
      </c>
      <c r="K89" s="68">
        <f t="shared" si="7"/>
        <v>0</v>
      </c>
      <c r="L89" s="69">
        <f t="shared" si="7"/>
        <v>0</v>
      </c>
      <c r="M89" s="70" t="e">
        <f t="shared" si="7"/>
        <v>#REF!</v>
      </c>
      <c r="N89" s="68">
        <f t="shared" si="7"/>
        <v>0</v>
      </c>
      <c r="O89" s="69">
        <f t="shared" si="7"/>
        <v>0</v>
      </c>
      <c r="P89" s="70">
        <f t="shared" si="7"/>
        <v>-524151.16999999969</v>
      </c>
      <c r="Q89" s="69">
        <f t="shared" si="7"/>
        <v>0</v>
      </c>
      <c r="R89" s="70">
        <f t="shared" si="7"/>
        <v>0</v>
      </c>
    </row>
    <row r="100" spans="1:35" ht="14" thickBot="1">
      <c r="A100" s="73" t="s">
        <v>167</v>
      </c>
      <c r="C100"/>
      <c r="Q100" s="40"/>
      <c r="R100" s="40"/>
      <c r="S100" s="96"/>
    </row>
    <row r="101" spans="1:35">
      <c r="A101" s="37" t="s">
        <v>118</v>
      </c>
      <c r="C101"/>
      <c r="Q101" s="80"/>
      <c r="R101" s="80"/>
      <c r="U101">
        <f>[2]Equipment!U101:U101</f>
        <v>0</v>
      </c>
      <c r="V101">
        <f>[2]Equipment!V101:V101</f>
        <v>0</v>
      </c>
      <c r="W101">
        <f>[2]Equipment!W101:W101</f>
        <v>0</v>
      </c>
      <c r="X101">
        <f>[2]Equipment!X101:X101</f>
        <v>0</v>
      </c>
      <c r="Y101">
        <f>[2]Equipment!Y101:Y101</f>
        <v>0</v>
      </c>
      <c r="Z101">
        <f>[2]Equipment!Z101:Z101</f>
        <v>0</v>
      </c>
      <c r="AA101">
        <f>[2]Equipment!AA101:AA101</f>
        <v>0</v>
      </c>
      <c r="AB101">
        <f>[2]Equipment!AB101:AB101</f>
        <v>0</v>
      </c>
      <c r="AC101">
        <f>[2]Equipment!AC101:AC101</f>
        <v>0</v>
      </c>
      <c r="AD101">
        <f>[2]Equipment!AD101:AD101</f>
        <v>0</v>
      </c>
      <c r="AE101">
        <f>[2]Equipment!AE101:AE101</f>
        <v>0</v>
      </c>
      <c r="AF101">
        <f>[2]Equipment!AF101:AF101</f>
        <v>0</v>
      </c>
      <c r="AG101">
        <f>[2]Equipment!AG101:AG101</f>
        <v>0</v>
      </c>
      <c r="AH101">
        <f>[2]Equipment!AH101:AH101</f>
        <v>0</v>
      </c>
      <c r="AI101">
        <f>[2]Equipment!AI101:AI101</f>
        <v>0</v>
      </c>
    </row>
    <row r="102" spans="1:35">
      <c r="A102" s="73" t="s">
        <v>168</v>
      </c>
      <c r="C102"/>
      <c r="Q102" s="80"/>
      <c r="R102" s="50"/>
    </row>
    <row r="103" spans="1:35">
      <c r="A103" s="37" t="s">
        <v>119</v>
      </c>
      <c r="C103"/>
      <c r="Q103" s="80"/>
      <c r="R103" s="80"/>
      <c r="U103">
        <f>[2]Equipment!U103:U103</f>
        <v>0</v>
      </c>
      <c r="V103">
        <f>[2]Equipment!V103:V103</f>
        <v>0</v>
      </c>
      <c r="W103">
        <f>[2]Equipment!W103:W103</f>
        <v>0</v>
      </c>
      <c r="X103">
        <f>[2]Equipment!X103:X103</f>
        <v>0</v>
      </c>
      <c r="Y103">
        <f>[2]Equipment!Y103:Y103</f>
        <v>0</v>
      </c>
      <c r="Z103">
        <f>[2]Equipment!Z103:Z103</f>
        <v>0</v>
      </c>
      <c r="AA103">
        <f>[2]Equipment!AA103:AA103</f>
        <v>0</v>
      </c>
      <c r="AB103">
        <f>[2]Equipment!AB103:AB103</f>
        <v>0</v>
      </c>
      <c r="AC103">
        <f>[2]Equipment!AC103:AC103</f>
        <v>0</v>
      </c>
      <c r="AD103">
        <f>[2]Equipment!AD103:AD103</f>
        <v>0</v>
      </c>
      <c r="AE103">
        <f>[2]Equipment!AE103:AE103</f>
        <v>0</v>
      </c>
      <c r="AF103">
        <f>[2]Equipment!AF103:AF103</f>
        <v>0</v>
      </c>
      <c r="AG103">
        <f>[2]Equipment!AG103:AG103</f>
        <v>0</v>
      </c>
      <c r="AH103">
        <f>[2]Equipment!AH103:AH103</f>
        <v>0</v>
      </c>
      <c r="AI103">
        <f>[2]Equipment!AI103:AI103</f>
        <v>0</v>
      </c>
    </row>
    <row r="104" spans="1:35">
      <c r="A104" s="73" t="s">
        <v>169</v>
      </c>
      <c r="C104"/>
      <c r="Q104" s="80"/>
      <c r="R104" s="50"/>
    </row>
    <row r="105" spans="1:35">
      <c r="A105" s="43" t="s">
        <v>120</v>
      </c>
      <c r="C105"/>
      <c r="Q105" s="54"/>
      <c r="R105" s="54"/>
      <c r="U105">
        <f>[2]Equipment!U105:U105</f>
        <v>0</v>
      </c>
      <c r="V105">
        <f>[2]Equipment!V105:V105</f>
        <v>0</v>
      </c>
      <c r="W105">
        <f>[2]Equipment!W105:W105</f>
        <v>0</v>
      </c>
      <c r="X105">
        <f>[2]Equipment!X105:X105</f>
        <v>0</v>
      </c>
      <c r="Y105">
        <f>[2]Equipment!Y105:Y105</f>
        <v>0</v>
      </c>
      <c r="Z105">
        <f>[2]Equipment!Z105:Z105</f>
        <v>0</v>
      </c>
      <c r="AA105">
        <f>[2]Equipment!AA105:AA105</f>
        <v>0</v>
      </c>
      <c r="AB105">
        <f>[2]Equipment!AB105:AB105</f>
        <v>0</v>
      </c>
      <c r="AC105">
        <f>[2]Equipment!AC105:AC105</f>
        <v>0</v>
      </c>
      <c r="AD105">
        <f>[2]Equipment!AD105:AD105</f>
        <v>0</v>
      </c>
      <c r="AE105">
        <f>[2]Equipment!AE105:AE105</f>
        <v>0</v>
      </c>
      <c r="AF105">
        <f>[2]Equipment!AF105:AF105</f>
        <v>0</v>
      </c>
      <c r="AG105">
        <f>[2]Equipment!AG105:AG105</f>
        <v>0</v>
      </c>
      <c r="AH105">
        <f>[2]Equipment!AH105:AH105</f>
        <v>0</v>
      </c>
      <c r="AI105">
        <f>[2]Equipment!AI105:AI105</f>
        <v>0</v>
      </c>
    </row>
    <row r="108" spans="1:35">
      <c r="B108" s="11">
        <f>[2]Equipment!B14:B14</f>
        <v>0.34000000000000008</v>
      </c>
    </row>
  </sheetData>
  <sheetProtection password="C446" sheet="1" objects="1" scenarios="1"/>
  <pageMargins left="0.75" right="0.75" top="1" bottom="1" header="0.5" footer="0.5"/>
  <pageSetup paperSize="0" scale="22" firstPageNumber="4" orientation="landscape" useFirstPageNumber="1" horizontalDpi="4294967292" verticalDpi="4294967292"/>
  <headerFooter>
    <oddHeader>&amp;A</oddHeader>
    <oddFooter>&amp;L&amp;F&amp;A&amp;C&amp;D&amp;T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3" x14ac:dyDescent="0"/>
  <sheetData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3" x14ac:dyDescent="0"/>
  <sheetData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3" x14ac:dyDescent="0"/>
  <sheetData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83"/>
  <sheetViews>
    <sheetView showZeros="0" workbookViewId="0">
      <pane xSplit="1" ySplit="4" topLeftCell="B5" activePane="bottomRight" state="frozenSplit"/>
      <selection pane="topRight"/>
      <selection pane="bottomLeft" activeCell="A4" sqref="A4"/>
      <selection pane="bottomRight"/>
    </sheetView>
  </sheetViews>
  <sheetFormatPr baseColWidth="10" defaultColWidth="11.42578125" defaultRowHeight="13" x14ac:dyDescent="0"/>
  <cols>
    <col min="1" max="1" width="30.5703125" customWidth="1"/>
    <col min="2" max="2" width="9.42578125" style="279" customWidth="1"/>
    <col min="3" max="3" width="10" style="279" customWidth="1"/>
    <col min="4" max="4" width="9.140625" style="279" customWidth="1"/>
    <col min="5" max="5" width="9.42578125" customWidth="1"/>
    <col min="6" max="6" width="10" customWidth="1"/>
    <col min="7" max="7" width="9.140625" customWidth="1"/>
    <col min="8" max="8" width="10.42578125" customWidth="1"/>
    <col min="9" max="9" width="10" customWidth="1"/>
    <col min="10" max="10" width="6.7109375" customWidth="1"/>
    <col min="11" max="11" width="10.42578125" customWidth="1"/>
    <col min="12" max="12" width="10" customWidth="1"/>
    <col min="13" max="13" width="6.28515625" customWidth="1"/>
    <col min="14" max="14" width="10.42578125" customWidth="1"/>
    <col min="15" max="15" width="10" customWidth="1"/>
    <col min="16" max="16" width="6.140625" customWidth="1"/>
    <col min="17" max="18" width="11.85546875" customWidth="1"/>
  </cols>
  <sheetData>
    <row r="1" spans="1:35" ht="14" thickBot="1">
      <c r="U1" s="97"/>
      <c r="V1" s="97"/>
      <c r="W1" s="97"/>
      <c r="X1" s="97"/>
      <c r="Y1" s="97"/>
      <c r="Z1" s="97"/>
      <c r="AA1" s="97"/>
      <c r="AB1" s="97"/>
      <c r="AC1" s="97"/>
    </row>
    <row r="2" spans="1:35">
      <c r="A2" s="195" t="s">
        <v>170</v>
      </c>
      <c r="B2" s="280">
        <v>1996</v>
      </c>
      <c r="C2" s="281">
        <v>1996</v>
      </c>
      <c r="D2" s="282">
        <v>1996</v>
      </c>
      <c r="E2" s="15">
        <v>1997</v>
      </c>
      <c r="F2" s="18">
        <v>1997</v>
      </c>
      <c r="G2" s="19">
        <v>1997</v>
      </c>
      <c r="H2" s="15">
        <v>1997</v>
      </c>
      <c r="I2" s="18">
        <v>1997</v>
      </c>
      <c r="J2" s="19">
        <v>1997</v>
      </c>
      <c r="K2" s="15">
        <v>1997</v>
      </c>
      <c r="L2" s="18">
        <v>1997</v>
      </c>
      <c r="M2" s="19">
        <v>1997</v>
      </c>
      <c r="N2" s="15">
        <v>1997</v>
      </c>
      <c r="O2" s="18">
        <v>1997</v>
      </c>
      <c r="P2" s="19">
        <v>1997</v>
      </c>
      <c r="Q2" s="18">
        <v>1997</v>
      </c>
      <c r="R2" s="237">
        <v>1997</v>
      </c>
      <c r="S2" s="84">
        <v>1997</v>
      </c>
      <c r="U2" s="98" t="s">
        <v>103</v>
      </c>
      <c r="V2" s="98" t="s">
        <v>103</v>
      </c>
      <c r="W2" s="98" t="s">
        <v>103</v>
      </c>
      <c r="X2" s="98" t="s">
        <v>103</v>
      </c>
      <c r="Y2" s="98" t="s">
        <v>103</v>
      </c>
      <c r="Z2" s="98" t="s">
        <v>103</v>
      </c>
      <c r="AA2" s="98" t="s">
        <v>103</v>
      </c>
      <c r="AB2" s="98" t="s">
        <v>103</v>
      </c>
      <c r="AC2" s="98" t="s">
        <v>103</v>
      </c>
      <c r="AD2" s="98" t="s">
        <v>103</v>
      </c>
      <c r="AE2" s="98" t="s">
        <v>103</v>
      </c>
      <c r="AF2" s="98" t="s">
        <v>103</v>
      </c>
      <c r="AG2" s="98"/>
      <c r="AH2" s="98"/>
      <c r="AI2" s="98"/>
    </row>
    <row r="3" spans="1:35">
      <c r="A3" s="246"/>
      <c r="B3" s="283" t="s">
        <v>104</v>
      </c>
      <c r="C3" s="284" t="s">
        <v>104</v>
      </c>
      <c r="D3" s="285" t="s">
        <v>104</v>
      </c>
      <c r="E3" s="16" t="s">
        <v>105</v>
      </c>
      <c r="F3" s="20" t="s">
        <v>105</v>
      </c>
      <c r="G3" s="21" t="s">
        <v>105</v>
      </c>
      <c r="H3" s="16" t="s">
        <v>106</v>
      </c>
      <c r="I3" s="20" t="s">
        <v>106</v>
      </c>
      <c r="J3" s="21" t="s">
        <v>106</v>
      </c>
      <c r="K3" s="16" t="s">
        <v>107</v>
      </c>
      <c r="L3" s="20" t="s">
        <v>108</v>
      </c>
      <c r="M3" s="21" t="s">
        <v>108</v>
      </c>
      <c r="N3" s="16" t="s">
        <v>104</v>
      </c>
      <c r="O3" s="20" t="s">
        <v>104</v>
      </c>
      <c r="P3" s="21" t="s">
        <v>104</v>
      </c>
      <c r="Q3" s="20" t="s">
        <v>109</v>
      </c>
      <c r="R3" s="177" t="s">
        <v>109</v>
      </c>
      <c r="S3" s="85" t="s">
        <v>109</v>
      </c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</row>
    <row r="4" spans="1:35">
      <c r="A4" s="196"/>
      <c r="B4" s="286" t="s">
        <v>111</v>
      </c>
      <c r="C4" s="287" t="s">
        <v>112</v>
      </c>
      <c r="D4" s="288" t="s">
        <v>103</v>
      </c>
      <c r="E4" s="17" t="s">
        <v>111</v>
      </c>
      <c r="F4" s="22" t="s">
        <v>112</v>
      </c>
      <c r="G4" s="23" t="s">
        <v>103</v>
      </c>
      <c r="H4" s="17" t="s">
        <v>111</v>
      </c>
      <c r="I4" s="22" t="s">
        <v>112</v>
      </c>
      <c r="J4" s="23" t="s">
        <v>103</v>
      </c>
      <c r="K4" s="17" t="s">
        <v>111</v>
      </c>
      <c r="L4" s="22" t="s">
        <v>112</v>
      </c>
      <c r="M4" s="23" t="s">
        <v>103</v>
      </c>
      <c r="N4" s="17" t="s">
        <v>111</v>
      </c>
      <c r="O4" s="22" t="s">
        <v>112</v>
      </c>
      <c r="P4" s="23" t="s">
        <v>103</v>
      </c>
      <c r="Q4" s="22" t="s">
        <v>111</v>
      </c>
      <c r="R4" s="178" t="s">
        <v>112</v>
      </c>
      <c r="S4" s="86" t="s">
        <v>103</v>
      </c>
      <c r="U4" s="100">
        <v>33877</v>
      </c>
      <c r="V4" s="100">
        <v>33908</v>
      </c>
      <c r="W4" s="100">
        <v>33938</v>
      </c>
      <c r="X4" s="100">
        <v>33969</v>
      </c>
      <c r="Y4" s="100">
        <v>34000</v>
      </c>
      <c r="Z4" s="100">
        <v>34028</v>
      </c>
      <c r="AA4" s="100">
        <v>34059</v>
      </c>
      <c r="AB4" s="100">
        <v>34089</v>
      </c>
      <c r="AC4" s="100">
        <v>34120</v>
      </c>
      <c r="AD4" s="100">
        <v>34150</v>
      </c>
      <c r="AE4" s="100">
        <v>34181</v>
      </c>
      <c r="AF4" s="100">
        <v>34212</v>
      </c>
      <c r="AG4" s="100">
        <v>34242</v>
      </c>
      <c r="AH4" s="100">
        <v>34273</v>
      </c>
      <c r="AI4" s="100">
        <v>34303</v>
      </c>
    </row>
    <row r="5" spans="1:35">
      <c r="A5" s="246"/>
      <c r="B5" s="289"/>
      <c r="C5" s="290"/>
      <c r="D5" s="291"/>
      <c r="E5" s="8"/>
      <c r="F5" s="9"/>
      <c r="G5" s="10"/>
      <c r="H5" s="8"/>
      <c r="I5" s="9"/>
      <c r="J5" s="10"/>
      <c r="K5" s="8"/>
      <c r="L5" s="9"/>
      <c r="M5" s="10"/>
      <c r="N5" s="8"/>
      <c r="O5" s="9"/>
      <c r="P5" s="10"/>
      <c r="Q5" s="50"/>
      <c r="R5" s="238"/>
      <c r="S5" s="87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</row>
    <row r="6" spans="1:35">
      <c r="A6" s="247" t="s">
        <v>171</v>
      </c>
      <c r="B6" s="292">
        <f>[1]Testing!B6:C6</f>
        <v>2104284</v>
      </c>
      <c r="C6" s="293">
        <f>[1]Testing!B6:C6</f>
        <v>2187455</v>
      </c>
      <c r="D6" s="294">
        <f>U6+V6+W6</f>
        <v>1943102.37</v>
      </c>
      <c r="E6" s="26">
        <f>[1]Testing!E6:F6</f>
        <v>1833261</v>
      </c>
      <c r="F6" s="31">
        <f>[1]Testing!E6:F6</f>
        <v>2233327.1929824562</v>
      </c>
      <c r="G6" s="38">
        <f>X6+Y6+Z6</f>
        <v>584542.4800000001</v>
      </c>
      <c r="H6" s="26">
        <f>[1]Testing!H6:I6</f>
        <v>1907768</v>
      </c>
      <c r="I6" s="31">
        <f>[1]Testing!H6:I6</f>
        <v>2270422.1929824562</v>
      </c>
      <c r="J6" s="38">
        <f>AA6+AB6+AC6</f>
        <v>0</v>
      </c>
      <c r="K6" s="26">
        <f>[1]Testing!K6:L6</f>
        <v>2010401</v>
      </c>
      <c r="L6" s="31">
        <f>[1]Testing!K6:L6</f>
        <v>2271809.4210526315</v>
      </c>
      <c r="M6" s="38">
        <f>AD6+AE6+AF6</f>
        <v>0</v>
      </c>
      <c r="N6" s="26">
        <f>[1]Testing!N6:O6</f>
        <v>2079012</v>
      </c>
      <c r="O6" s="31">
        <f>[1]Testing!N6:O6</f>
        <v>2234790.1929824562</v>
      </c>
      <c r="P6" s="38">
        <f>AG6+AH6+AI6</f>
        <v>0</v>
      </c>
      <c r="Q6" s="80">
        <f>E6+H6+K6+N6</f>
        <v>7830442</v>
      </c>
      <c r="R6" s="238">
        <f>F6+I6+L6+O6</f>
        <v>9010349</v>
      </c>
      <c r="S6" s="88">
        <f>G6+J6+M6+P6</f>
        <v>584542.4800000001</v>
      </c>
      <c r="U6" s="101">
        <f>[1]Testing!U6:U6</f>
        <v>403452</v>
      </c>
      <c r="V6" s="38">
        <f>[1]Testing!V6:V6</f>
        <v>833145.37</v>
      </c>
      <c r="W6" s="38">
        <f>[1]Testing!W6:W6</f>
        <v>706505</v>
      </c>
      <c r="X6" s="38">
        <f>[1]Testing!X6:X6</f>
        <v>584542.4800000001</v>
      </c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</row>
    <row r="7" spans="1:35">
      <c r="A7" s="247"/>
      <c r="B7" s="289"/>
      <c r="C7" s="290"/>
      <c r="D7" s="291">
        <f>U7+V7+W7</f>
        <v>0</v>
      </c>
      <c r="E7" s="8"/>
      <c r="F7" s="9"/>
      <c r="G7" s="10">
        <f>X7+Y7+Z7</f>
        <v>0</v>
      </c>
      <c r="H7" s="8"/>
      <c r="I7" s="9"/>
      <c r="J7" s="10">
        <f>AA7+AB7+AC7</f>
        <v>0</v>
      </c>
      <c r="K7" s="8"/>
      <c r="L7" s="9"/>
      <c r="M7" s="10">
        <f>AD7+AE7+AF7</f>
        <v>0</v>
      </c>
      <c r="N7" s="8"/>
      <c r="O7" s="9"/>
      <c r="P7" s="10">
        <f>AG7+AH7+AI7</f>
        <v>0</v>
      </c>
      <c r="Q7" s="80"/>
      <c r="R7" s="238"/>
      <c r="S7" s="87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</row>
    <row r="8" spans="1:35">
      <c r="A8" s="247" t="s">
        <v>172</v>
      </c>
      <c r="B8" s="292">
        <f>[1]Testing!B8:C8</f>
        <v>1591701.93</v>
      </c>
      <c r="C8" s="293">
        <f>[1]Testing!B8:C8</f>
        <v>1634582</v>
      </c>
      <c r="D8" s="294">
        <f>U8+V8+W8</f>
        <v>1422891.67</v>
      </c>
      <c r="E8" s="26">
        <f>[1]Testing!E8:F8</f>
        <v>1462885.586544557</v>
      </c>
      <c r="F8" s="31">
        <f>[1]Testing!E8:F8</f>
        <v>1688803.5622445126</v>
      </c>
      <c r="G8" s="38">
        <f>X8+Y8+Z8</f>
        <v>430231.81999999995</v>
      </c>
      <c r="H8" s="26">
        <f>[1]Testing!H8:I8</f>
        <v>1550519.2637847969</v>
      </c>
      <c r="I8" s="31">
        <f>[1]Testing!H8:I8</f>
        <v>1692388.6922445125</v>
      </c>
      <c r="J8" s="38">
        <f>AA8+AB8+AC8</f>
        <v>0</v>
      </c>
      <c r="K8" s="26">
        <f>[1]Testing!K8:L8</f>
        <v>1580210.8253789439</v>
      </c>
      <c r="L8" s="31">
        <f>[1]Testing!K8:L8</f>
        <v>1688860.0695476918</v>
      </c>
      <c r="M8" s="38">
        <f>AD8+AE8+AF8</f>
        <v>0</v>
      </c>
      <c r="N8" s="26">
        <f>[1]Testing!N8:O8</f>
        <v>1642476.6074846541</v>
      </c>
      <c r="O8" s="31">
        <f>[1]Testing!N8:O8</f>
        <v>1704624.9422445125</v>
      </c>
      <c r="P8" s="38">
        <f>AG8+AH8+AI8</f>
        <v>0</v>
      </c>
      <c r="Q8" s="80">
        <f>E8+H8+K8+N8</f>
        <v>6236092.2831929512</v>
      </c>
      <c r="R8" s="239">
        <f>F8+I8+L8+O8</f>
        <v>6774677.2662812304</v>
      </c>
      <c r="S8" s="88">
        <f>G8+J8+M8+P8</f>
        <v>430231.81999999995</v>
      </c>
      <c r="U8" s="101">
        <f>[1]Testing!U8:U8</f>
        <v>399647</v>
      </c>
      <c r="V8" s="38">
        <f>[1]Testing!V8:V8</f>
        <v>530884.66999999993</v>
      </c>
      <c r="W8" s="38">
        <f>[1]Testing!W8:W8</f>
        <v>492360</v>
      </c>
      <c r="X8" s="38">
        <f>[1]Testing!X8:X8</f>
        <v>430231.81999999995</v>
      </c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</row>
    <row r="9" spans="1:35" ht="14" thickBot="1">
      <c r="A9" s="247"/>
      <c r="B9" s="295"/>
      <c r="C9" s="296"/>
      <c r="D9" s="297"/>
      <c r="E9" s="6"/>
      <c r="F9" s="1"/>
      <c r="G9" s="7"/>
      <c r="H9" s="6"/>
      <c r="I9" s="1"/>
      <c r="J9" s="7"/>
      <c r="K9" s="6"/>
      <c r="L9" s="1"/>
      <c r="M9" s="7"/>
      <c r="N9" s="6"/>
      <c r="O9" s="1"/>
      <c r="P9" s="7"/>
      <c r="Q9" s="54"/>
      <c r="R9" s="240"/>
      <c r="S9" s="89"/>
      <c r="U9" s="104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</row>
    <row r="10" spans="1:35" ht="14" thickBot="1">
      <c r="A10" s="248" t="s">
        <v>117</v>
      </c>
      <c r="B10" s="298">
        <f>B6-B8</f>
        <v>512582.07000000007</v>
      </c>
      <c r="C10" s="299">
        <f t="shared" ref="C10:R10" si="0">C6-C8</f>
        <v>552873</v>
      </c>
      <c r="D10" s="300">
        <f t="shared" si="0"/>
        <v>520210.70000000019</v>
      </c>
      <c r="E10" s="35">
        <f t="shared" si="0"/>
        <v>370375.41345544299</v>
      </c>
      <c r="F10" s="32">
        <f t="shared" si="0"/>
        <v>544523.63073794357</v>
      </c>
      <c r="G10" s="36">
        <f t="shared" si="0"/>
        <v>154310.66000000015</v>
      </c>
      <c r="H10" s="35">
        <f t="shared" si="0"/>
        <v>357248.73621520307</v>
      </c>
      <c r="I10" s="32">
        <f t="shared" si="0"/>
        <v>578033.50073794369</v>
      </c>
      <c r="J10" s="36">
        <f t="shared" si="0"/>
        <v>0</v>
      </c>
      <c r="K10" s="35">
        <f t="shared" si="0"/>
        <v>430190.17462105607</v>
      </c>
      <c r="L10" s="32">
        <f t="shared" si="0"/>
        <v>582949.35150493961</v>
      </c>
      <c r="M10" s="36">
        <f t="shared" si="0"/>
        <v>0</v>
      </c>
      <c r="N10" s="35">
        <f t="shared" si="0"/>
        <v>436535.39251534594</v>
      </c>
      <c r="O10" s="32">
        <f t="shared" si="0"/>
        <v>530165.25073794369</v>
      </c>
      <c r="P10" s="36">
        <f t="shared" si="0"/>
        <v>0</v>
      </c>
      <c r="Q10" s="32">
        <f t="shared" si="0"/>
        <v>1594349.7168070488</v>
      </c>
      <c r="R10" s="241">
        <f t="shared" si="0"/>
        <v>2235671.7337187696</v>
      </c>
      <c r="S10" s="90">
        <f>S6-S8</f>
        <v>154310.66000000015</v>
      </c>
      <c r="U10" s="102">
        <f t="shared" ref="U10:AI10" si="1">U6-U8</f>
        <v>3805</v>
      </c>
      <c r="V10" s="102">
        <f t="shared" si="1"/>
        <v>302260.70000000007</v>
      </c>
      <c r="W10" s="102">
        <f t="shared" si="1"/>
        <v>214145</v>
      </c>
      <c r="X10" s="102">
        <f t="shared" si="1"/>
        <v>154310.66000000015</v>
      </c>
      <c r="Y10" s="102">
        <f t="shared" si="1"/>
        <v>0</v>
      </c>
      <c r="Z10" s="102">
        <f t="shared" si="1"/>
        <v>0</v>
      </c>
      <c r="AA10" s="102">
        <f t="shared" si="1"/>
        <v>0</v>
      </c>
      <c r="AB10" s="102">
        <f t="shared" si="1"/>
        <v>0</v>
      </c>
      <c r="AC10" s="102">
        <f t="shared" si="1"/>
        <v>0</v>
      </c>
      <c r="AD10" s="102">
        <f t="shared" si="1"/>
        <v>0</v>
      </c>
      <c r="AE10" s="102">
        <f t="shared" si="1"/>
        <v>0</v>
      </c>
      <c r="AF10" s="102">
        <f t="shared" si="1"/>
        <v>0</v>
      </c>
      <c r="AG10" s="102">
        <f t="shared" si="1"/>
        <v>0</v>
      </c>
      <c r="AH10" s="102">
        <f t="shared" si="1"/>
        <v>0</v>
      </c>
      <c r="AI10" s="102">
        <f t="shared" si="1"/>
        <v>0</v>
      </c>
    </row>
    <row r="11" spans="1:35">
      <c r="A11" s="246"/>
      <c r="B11" s="289"/>
      <c r="C11" s="290"/>
      <c r="D11" s="291"/>
      <c r="E11" s="8"/>
      <c r="F11" s="9"/>
      <c r="G11" s="10"/>
      <c r="H11" s="8"/>
      <c r="I11" s="9"/>
      <c r="J11" s="10"/>
      <c r="K11" s="8"/>
      <c r="L11" s="9"/>
      <c r="M11" s="10"/>
      <c r="N11" s="8"/>
      <c r="O11" s="9"/>
      <c r="P11" s="10"/>
      <c r="Q11" s="50"/>
      <c r="R11" s="238"/>
      <c r="S11" s="87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</row>
    <row r="12" spans="1:35">
      <c r="A12" s="249" t="s">
        <v>173</v>
      </c>
      <c r="B12" s="289">
        <f>B15/B20</f>
        <v>0.58742536695049252</v>
      </c>
      <c r="C12" s="290"/>
      <c r="D12" s="291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1"/>
      <c r="R12" s="238"/>
      <c r="S12" s="87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</row>
    <row r="13" spans="1:35">
      <c r="A13" s="246"/>
      <c r="B13" s="289"/>
      <c r="C13" s="290"/>
      <c r="D13" s="291"/>
      <c r="E13" s="8"/>
      <c r="F13" s="9"/>
      <c r="G13" s="10"/>
      <c r="H13" s="8"/>
      <c r="I13" s="9"/>
      <c r="J13" s="10"/>
      <c r="K13" s="8"/>
      <c r="L13" s="9"/>
      <c r="M13" s="10"/>
      <c r="N13" s="8"/>
      <c r="O13" s="9"/>
      <c r="P13" s="10"/>
      <c r="Q13" s="50"/>
      <c r="R13" s="238"/>
      <c r="S13" s="87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</row>
    <row r="14" spans="1:35" s="52" customFormat="1">
      <c r="A14" s="250" t="s">
        <v>167</v>
      </c>
      <c r="B14" s="301">
        <f t="array" ref="B14:P19">[1]Testing!$B$14:$P$19</f>
        <v>0.63</v>
      </c>
      <c r="C14" s="302">
        <v>0.63</v>
      </c>
      <c r="D14" s="303">
        <v>0.63</v>
      </c>
      <c r="E14" s="11">
        <v>0.63</v>
      </c>
      <c r="F14" s="40">
        <v>0.63</v>
      </c>
      <c r="G14" s="44">
        <v>0.63</v>
      </c>
      <c r="H14" s="11">
        <v>0.63</v>
      </c>
      <c r="I14" s="40">
        <v>0.63</v>
      </c>
      <c r="J14" s="44">
        <v>0.63</v>
      </c>
      <c r="K14" s="11">
        <v>0.63</v>
      </c>
      <c r="L14" s="40">
        <v>0.63</v>
      </c>
      <c r="M14" s="44">
        <v>0.63</v>
      </c>
      <c r="N14" s="11">
        <v>0.63</v>
      </c>
      <c r="O14" s="40">
        <v>0.63</v>
      </c>
      <c r="P14" s="44">
        <v>0.63</v>
      </c>
      <c r="Q14" s="40"/>
      <c r="R14" s="242"/>
      <c r="S14" s="91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</row>
    <row r="15" spans="1:35">
      <c r="A15" s="247" t="s">
        <v>118</v>
      </c>
      <c r="B15" s="292">
        <v>131148</v>
      </c>
      <c r="C15" s="293">
        <v>131148</v>
      </c>
      <c r="D15" s="294">
        <v>139180</v>
      </c>
      <c r="E15" s="26">
        <v>131148</v>
      </c>
      <c r="F15" s="31">
        <v>131148</v>
      </c>
      <c r="G15" s="38">
        <v>0.63</v>
      </c>
      <c r="H15" s="8">
        <v>0.63</v>
      </c>
      <c r="I15" s="9">
        <v>0.63</v>
      </c>
      <c r="J15" s="10">
        <v>0.63</v>
      </c>
      <c r="K15" s="8">
        <v>0.63</v>
      </c>
      <c r="L15" s="9">
        <v>0.63</v>
      </c>
      <c r="M15" s="10">
        <v>0.63</v>
      </c>
      <c r="N15" s="8">
        <v>0.63</v>
      </c>
      <c r="O15" s="9">
        <v>0.63</v>
      </c>
      <c r="P15" s="10">
        <v>0.63</v>
      </c>
      <c r="Q15" s="80">
        <f>E15+H15+K15+N15</f>
        <v>131149.89000000001</v>
      </c>
      <c r="R15" s="239">
        <f>F15+I15+L15+O15</f>
        <v>131149.89000000001</v>
      </c>
      <c r="S15" s="92">
        <f>G15+J15+M15+P15</f>
        <v>2.52</v>
      </c>
      <c r="U15" s="101">
        <f>[1]Testing!U15:U15</f>
        <v>-3383.04</v>
      </c>
      <c r="V15" s="101">
        <f>[1]Testing!V15:V15</f>
        <v>4.1721808331696939E+38</v>
      </c>
      <c r="W15" s="101">
        <f>[1]Testing!W15:W15</f>
        <v>0</v>
      </c>
      <c r="X15" s="101">
        <f>[1]Testing!X15:X15</f>
        <v>339642.27</v>
      </c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</row>
    <row r="16" spans="1:35" s="52" customFormat="1">
      <c r="A16" s="250" t="s">
        <v>168</v>
      </c>
      <c r="B16" s="301">
        <v>0.63</v>
      </c>
      <c r="C16" s="302">
        <v>0.63</v>
      </c>
      <c r="D16" s="303">
        <v>0.63</v>
      </c>
      <c r="E16" s="11">
        <v>0.63</v>
      </c>
      <c r="F16" s="40">
        <v>0.63</v>
      </c>
      <c r="G16" s="44">
        <v>0.63</v>
      </c>
      <c r="H16" s="11">
        <v>0.63</v>
      </c>
      <c r="I16" s="40">
        <v>0.63</v>
      </c>
      <c r="J16" s="44">
        <v>0.63</v>
      </c>
      <c r="K16" s="11">
        <v>0.63</v>
      </c>
      <c r="L16" s="40">
        <v>0.63</v>
      </c>
      <c r="M16" s="44">
        <v>0.63</v>
      </c>
      <c r="N16" s="11">
        <v>0.63</v>
      </c>
      <c r="O16" s="40">
        <v>0.63</v>
      </c>
      <c r="P16" s="44">
        <v>0.63</v>
      </c>
      <c r="Q16" s="137"/>
      <c r="R16" s="242"/>
      <c r="S16" s="91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</row>
    <row r="17" spans="1:35">
      <c r="A17" s="247" t="s">
        <v>119</v>
      </c>
      <c r="B17" s="292">
        <v>54311</v>
      </c>
      <c r="C17" s="293">
        <v>54311</v>
      </c>
      <c r="D17" s="294">
        <v>42678</v>
      </c>
      <c r="E17" s="26">
        <v>54311</v>
      </c>
      <c r="F17" s="31">
        <v>54311</v>
      </c>
      <c r="G17" s="38">
        <v>0.63</v>
      </c>
      <c r="H17" s="8">
        <v>0.63</v>
      </c>
      <c r="I17" s="9">
        <v>0.63</v>
      </c>
      <c r="J17" s="10">
        <v>0.63</v>
      </c>
      <c r="K17" s="8">
        <v>0.63</v>
      </c>
      <c r="L17" s="9">
        <v>0.63</v>
      </c>
      <c r="M17" s="10">
        <v>0.63</v>
      </c>
      <c r="N17" s="8">
        <v>0.63</v>
      </c>
      <c r="O17" s="9">
        <v>0.63</v>
      </c>
      <c r="P17" s="10">
        <v>0.63</v>
      </c>
      <c r="Q17" s="80">
        <f>E17+H17+K17+N17</f>
        <v>54312.889999999992</v>
      </c>
      <c r="R17" s="239">
        <f>F17+I17+L17+O17</f>
        <v>54312.889999999992</v>
      </c>
      <c r="S17" s="92">
        <f>G17+J17+M17+P17</f>
        <v>2.52</v>
      </c>
      <c r="U17" s="101">
        <f>[1]Testing!U17:U17</f>
        <v>-3383.04</v>
      </c>
      <c r="V17" s="101">
        <f>[1]Testing!V17:V17</f>
        <v>4.1721808331696939E+38</v>
      </c>
      <c r="W17" s="101">
        <f>[1]Testing!W17:W17</f>
        <v>0</v>
      </c>
      <c r="X17" s="101">
        <f>[1]Testing!X17:X17</f>
        <v>339642.27</v>
      </c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</row>
    <row r="18" spans="1:35" s="52" customFormat="1">
      <c r="A18" s="250" t="s">
        <v>169</v>
      </c>
      <c r="B18" s="301">
        <v>0.63</v>
      </c>
      <c r="C18" s="302">
        <v>0.63</v>
      </c>
      <c r="D18" s="303">
        <v>0.63</v>
      </c>
      <c r="E18" s="11">
        <v>0.63</v>
      </c>
      <c r="F18" s="40">
        <v>0.63</v>
      </c>
      <c r="G18" s="44">
        <v>0.63</v>
      </c>
      <c r="H18" s="11">
        <v>0.63</v>
      </c>
      <c r="I18" s="40">
        <v>0.63</v>
      </c>
      <c r="J18" s="44">
        <v>0.63</v>
      </c>
      <c r="K18" s="11">
        <v>0.63</v>
      </c>
      <c r="L18" s="40">
        <v>0.63</v>
      </c>
      <c r="M18" s="44">
        <v>0.63</v>
      </c>
      <c r="N18" s="11">
        <v>0.63</v>
      </c>
      <c r="O18" s="40">
        <v>0.63</v>
      </c>
      <c r="P18" s="44">
        <v>0.63</v>
      </c>
      <c r="Q18" s="137"/>
      <c r="R18" s="242"/>
      <c r="S18" s="91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</row>
    <row r="19" spans="1:35" s="9" customFormat="1">
      <c r="A19" s="251" t="s">
        <v>120</v>
      </c>
      <c r="B19" s="292">
        <v>37800</v>
      </c>
      <c r="C19" s="293">
        <v>37800</v>
      </c>
      <c r="D19" s="294">
        <v>55102</v>
      </c>
      <c r="E19" s="26">
        <v>37800</v>
      </c>
      <c r="F19" s="31">
        <v>37800</v>
      </c>
      <c r="G19" s="38">
        <v>1.3980674267706528E-154</v>
      </c>
      <c r="H19" s="8">
        <v>0.63</v>
      </c>
      <c r="I19" s="9">
        <v>0.63</v>
      </c>
      <c r="J19" s="10">
        <v>0.63</v>
      </c>
      <c r="K19" s="8">
        <v>0.63</v>
      </c>
      <c r="L19" s="9">
        <v>0.63</v>
      </c>
      <c r="M19" s="10">
        <v>0.63</v>
      </c>
      <c r="N19" s="8">
        <v>0.63</v>
      </c>
      <c r="O19" s="9">
        <v>0.63</v>
      </c>
      <c r="P19" s="10">
        <v>0.63</v>
      </c>
      <c r="Q19" s="54">
        <f>E19+H19+K19+N19</f>
        <v>37801.889999999992</v>
      </c>
      <c r="R19" s="243">
        <f>F19+I19+L19+O19</f>
        <v>37801.889999999992</v>
      </c>
      <c r="S19" s="93">
        <f>G19+J19+M19+P19</f>
        <v>1.8900000000000001</v>
      </c>
      <c r="U19" s="101">
        <f>[1]Testing!U19:U19</f>
        <v>-3383.04</v>
      </c>
      <c r="V19" s="101">
        <f>[1]Testing!V19:V19</f>
        <v>4.1721808331696939E+38</v>
      </c>
      <c r="W19" s="101">
        <f>[1]Testing!W19:W19</f>
        <v>0</v>
      </c>
      <c r="X19" s="101">
        <f>[1]Testing!X19:X19</f>
        <v>339642.27</v>
      </c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</row>
    <row r="20" spans="1:35" s="1" customFormat="1">
      <c r="A20" s="248" t="s">
        <v>174</v>
      </c>
      <c r="B20" s="298">
        <f>B15+B17+B19</f>
        <v>223259</v>
      </c>
      <c r="C20" s="299">
        <f t="shared" ref="C20:P20" si="2">C15+C17+C19</f>
        <v>223259</v>
      </c>
      <c r="D20" s="300">
        <f t="shared" si="2"/>
        <v>236960</v>
      </c>
      <c r="E20" s="35">
        <f t="shared" si="2"/>
        <v>223259</v>
      </c>
      <c r="F20" s="32">
        <f t="shared" si="2"/>
        <v>223259</v>
      </c>
      <c r="G20" s="36">
        <f t="shared" si="2"/>
        <v>1.26</v>
      </c>
      <c r="H20" s="35">
        <f t="shared" si="2"/>
        <v>1.8900000000000001</v>
      </c>
      <c r="I20" s="32">
        <f t="shared" si="2"/>
        <v>1.8900000000000001</v>
      </c>
      <c r="J20" s="36">
        <f t="shared" si="2"/>
        <v>1.8900000000000001</v>
      </c>
      <c r="K20" s="35">
        <f t="shared" si="2"/>
        <v>1.8900000000000001</v>
      </c>
      <c r="L20" s="32">
        <f t="shared" si="2"/>
        <v>1.8900000000000001</v>
      </c>
      <c r="M20" s="36">
        <f t="shared" si="2"/>
        <v>1.8900000000000001</v>
      </c>
      <c r="N20" s="35">
        <f t="shared" si="2"/>
        <v>1.8900000000000001</v>
      </c>
      <c r="O20" s="32">
        <f t="shared" si="2"/>
        <v>1.8900000000000001</v>
      </c>
      <c r="P20" s="36">
        <f t="shared" si="2"/>
        <v>1.8900000000000001</v>
      </c>
      <c r="Q20" s="32">
        <f>Q19+Q17+Q15</f>
        <v>223264.66999999998</v>
      </c>
      <c r="R20" s="241">
        <f>R19+R17+R15</f>
        <v>223264.66999999998</v>
      </c>
      <c r="S20" s="90">
        <f>S19+S17+S15</f>
        <v>6.93</v>
      </c>
      <c r="U20" s="218">
        <f>U19+U17+U15</f>
        <v>-10149.119999999999</v>
      </c>
      <c r="V20" s="219"/>
      <c r="W20" s="219"/>
      <c r="X20" s="21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</row>
    <row r="21" spans="1:35">
      <c r="A21" s="246"/>
      <c r="B21" s="289"/>
      <c r="C21" s="290"/>
      <c r="D21" s="291"/>
      <c r="E21" s="8"/>
      <c r="F21" s="9"/>
      <c r="G21" s="10"/>
      <c r="H21" s="8"/>
      <c r="I21" s="9"/>
      <c r="J21" s="10"/>
      <c r="K21" s="8"/>
      <c r="L21" s="9"/>
      <c r="M21" s="10"/>
      <c r="N21" s="8"/>
      <c r="O21" s="9"/>
      <c r="P21" s="10"/>
      <c r="Q21" s="50"/>
      <c r="R21" s="238"/>
      <c r="S21" s="92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</row>
    <row r="22" spans="1:35" ht="14" thickBot="1">
      <c r="A22" s="248" t="s">
        <v>175</v>
      </c>
      <c r="B22" s="304">
        <f>B10-B20</f>
        <v>289323.07000000007</v>
      </c>
      <c r="C22" s="305">
        <f t="shared" ref="C22:R22" si="3">C10-C20</f>
        <v>329614</v>
      </c>
      <c r="D22" s="306">
        <f t="shared" si="3"/>
        <v>283250.70000000019</v>
      </c>
      <c r="E22" s="55">
        <f t="shared" si="3"/>
        <v>147116.41345544299</v>
      </c>
      <c r="F22" s="56">
        <f t="shared" si="3"/>
        <v>321264.63073794357</v>
      </c>
      <c r="G22" s="57">
        <f t="shared" si="3"/>
        <v>154309.40000000014</v>
      </c>
      <c r="H22" s="55">
        <f t="shared" si="3"/>
        <v>357246.84621520306</v>
      </c>
      <c r="I22" s="56">
        <f t="shared" si="3"/>
        <v>578031.61073794367</v>
      </c>
      <c r="J22" s="57">
        <f t="shared" si="3"/>
        <v>-1.8900000000000001</v>
      </c>
      <c r="K22" s="55">
        <f t="shared" si="3"/>
        <v>430188.28462105605</v>
      </c>
      <c r="L22" s="56">
        <f t="shared" si="3"/>
        <v>582947.46150493959</v>
      </c>
      <c r="M22" s="57">
        <f t="shared" si="3"/>
        <v>-1.8900000000000001</v>
      </c>
      <c r="N22" s="55">
        <f t="shared" si="3"/>
        <v>436533.50251534593</v>
      </c>
      <c r="O22" s="56">
        <f t="shared" si="3"/>
        <v>530163.36073794367</v>
      </c>
      <c r="P22" s="57">
        <f t="shared" si="3"/>
        <v>-1.8900000000000001</v>
      </c>
      <c r="Q22" s="56">
        <f t="shared" si="3"/>
        <v>1371085.0468070488</v>
      </c>
      <c r="R22" s="240">
        <f t="shared" si="3"/>
        <v>2012407.0637187697</v>
      </c>
      <c r="S22" s="93">
        <f>S10-S20</f>
        <v>154303.73000000016</v>
      </c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</row>
    <row r="23" spans="1:35" s="48" customFormat="1" ht="14" thickBot="1">
      <c r="A23" s="246"/>
      <c r="B23" s="307"/>
      <c r="C23" s="308"/>
      <c r="D23" s="309"/>
      <c r="E23" s="49"/>
      <c r="F23" s="50"/>
      <c r="G23" s="51"/>
      <c r="H23" s="49"/>
      <c r="I23" s="50"/>
      <c r="J23" s="51"/>
      <c r="K23" s="49"/>
      <c r="L23" s="50"/>
      <c r="M23" s="51"/>
      <c r="N23" s="49"/>
      <c r="O23" s="50"/>
      <c r="P23" s="51"/>
      <c r="Q23" s="46"/>
      <c r="R23" s="244"/>
      <c r="S23" s="91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</row>
    <row r="24" spans="1:35">
      <c r="A24" s="246" t="s">
        <v>176</v>
      </c>
      <c r="B24" s="289"/>
      <c r="C24" s="290"/>
      <c r="D24" s="291"/>
      <c r="E24" s="8"/>
      <c r="F24" s="9"/>
      <c r="G24" s="10"/>
      <c r="H24" s="8"/>
      <c r="I24" s="9"/>
      <c r="J24" s="10"/>
      <c r="K24" s="8"/>
      <c r="L24" s="9"/>
      <c r="M24" s="10"/>
      <c r="N24" s="8"/>
      <c r="O24" s="9"/>
      <c r="P24" s="10"/>
      <c r="Q24" s="136">
        <v>0.42</v>
      </c>
      <c r="R24" s="242">
        <v>0.42</v>
      </c>
      <c r="S24" s="91">
        <f>S22-S23</f>
        <v>154303.73000000016</v>
      </c>
    </row>
    <row r="25" spans="1:35" ht="26">
      <c r="A25" s="252" t="s">
        <v>132</v>
      </c>
      <c r="B25" s="289"/>
      <c r="C25" s="290"/>
      <c r="D25" s="291"/>
      <c r="E25" s="8"/>
      <c r="F25" s="9"/>
      <c r="G25" s="10"/>
      <c r="H25" s="8"/>
      <c r="I25" s="9"/>
      <c r="J25" s="10"/>
      <c r="K25" s="8"/>
      <c r="L25" s="9"/>
      <c r="M25" s="10"/>
      <c r="N25" s="8"/>
      <c r="O25" s="9"/>
      <c r="P25" s="10"/>
      <c r="Q25" s="82">
        <f>E25+H25+K25+N25</f>
        <v>0</v>
      </c>
      <c r="R25" s="238">
        <f>F25+I25+L25+O25</f>
        <v>0</v>
      </c>
      <c r="S25" s="92">
        <f>G25+J25+M25+P25</f>
        <v>0</v>
      </c>
      <c r="U25" t="s">
        <v>177</v>
      </c>
    </row>
    <row r="26" spans="1:35">
      <c r="A26" s="252"/>
      <c r="B26" s="289"/>
      <c r="C26" s="290"/>
      <c r="D26" s="291"/>
      <c r="E26" s="8"/>
      <c r="F26" s="9"/>
      <c r="G26" s="10"/>
      <c r="H26" s="8"/>
      <c r="I26" s="9"/>
      <c r="J26" s="10"/>
      <c r="K26" s="8"/>
      <c r="L26" s="9"/>
      <c r="M26" s="10"/>
      <c r="N26" s="8"/>
      <c r="O26" s="9"/>
      <c r="P26" s="10"/>
      <c r="Q26" s="46"/>
      <c r="R26" s="244"/>
      <c r="S26" s="91"/>
    </row>
    <row r="27" spans="1:35">
      <c r="A27" s="252"/>
      <c r="B27" s="289"/>
      <c r="C27" s="290"/>
      <c r="D27" s="291"/>
      <c r="E27" s="8"/>
      <c r="F27" s="9"/>
      <c r="G27" s="10"/>
      <c r="H27" s="8"/>
      <c r="I27" s="9"/>
      <c r="J27" s="10"/>
      <c r="K27" s="8"/>
      <c r="L27" s="9"/>
      <c r="M27" s="10"/>
      <c r="N27" s="8"/>
      <c r="O27" s="9"/>
      <c r="P27" s="10"/>
      <c r="Q27" s="46"/>
      <c r="R27" s="244"/>
      <c r="S27" s="91"/>
    </row>
    <row r="28" spans="1:35" ht="52">
      <c r="A28" s="252" t="s">
        <v>140</v>
      </c>
      <c r="B28" s="301"/>
      <c r="C28" s="290">
        <f>[1]Testing!$B28:$P28</f>
        <v>0</v>
      </c>
      <c r="D28" s="291">
        <f>[1]Testing!$B26:$P26</f>
        <v>164285.40600000013</v>
      </c>
      <c r="E28" s="11"/>
      <c r="F28" s="9"/>
      <c r="G28" s="10"/>
      <c r="H28" s="11"/>
      <c r="I28" s="9"/>
      <c r="J28" s="10"/>
      <c r="K28" s="11"/>
      <c r="L28" s="9"/>
      <c r="M28" s="10"/>
      <c r="N28" s="11"/>
      <c r="O28" s="9"/>
      <c r="P28" s="10"/>
      <c r="Q28" s="46">
        <f>E28+H28+K28+N28</f>
        <v>0</v>
      </c>
      <c r="R28" s="244">
        <f>F28+I28+L28+O28</f>
        <v>0</v>
      </c>
      <c r="S28" s="91">
        <f>G28+J28+M28+P28</f>
        <v>0</v>
      </c>
    </row>
    <row r="29" spans="1:35">
      <c r="A29" s="252"/>
      <c r="B29" s="289"/>
      <c r="C29" s="290"/>
      <c r="D29" s="291"/>
      <c r="E29" s="8"/>
      <c r="F29" s="9"/>
      <c r="G29" s="10"/>
      <c r="H29" s="8"/>
      <c r="I29" s="9"/>
      <c r="J29" s="10"/>
      <c r="K29" s="8"/>
      <c r="L29" s="9"/>
      <c r="M29" s="10"/>
      <c r="N29" s="8"/>
      <c r="O29" s="9"/>
      <c r="P29" s="10"/>
      <c r="Q29" s="82"/>
      <c r="R29" s="238"/>
      <c r="S29" s="92"/>
    </row>
    <row r="30" spans="1:35" ht="26">
      <c r="A30" s="252" t="s">
        <v>141</v>
      </c>
      <c r="B30" s="292"/>
      <c r="C30" s="293"/>
      <c r="D30" s="309">
        <f>[1]Testing!$B32:$P32</f>
        <v>18701</v>
      </c>
      <c r="E30" s="26"/>
      <c r="F30" s="31"/>
      <c r="G30" s="51"/>
      <c r="H30" s="26"/>
      <c r="I30" s="31"/>
      <c r="J30" s="51"/>
      <c r="K30" s="26"/>
      <c r="L30" s="31"/>
      <c r="M30" s="51"/>
      <c r="N30" s="26"/>
      <c r="O30" s="31"/>
      <c r="P30" s="51"/>
      <c r="Q30" s="46"/>
      <c r="R30" s="244"/>
      <c r="S30" s="91"/>
    </row>
    <row r="31" spans="1:35">
      <c r="A31" s="252" t="s">
        <v>178</v>
      </c>
      <c r="B31" s="289"/>
      <c r="C31" s="293"/>
      <c r="D31" s="310">
        <f>0.1/4</f>
        <v>2.5000000000000001E-2</v>
      </c>
      <c r="E31" s="8"/>
      <c r="F31" s="31"/>
      <c r="G31" s="138"/>
      <c r="H31" s="8"/>
      <c r="I31" s="31"/>
      <c r="J31" s="138"/>
      <c r="K31" s="8"/>
      <c r="L31" s="31"/>
      <c r="M31" s="138"/>
      <c r="N31" s="8"/>
      <c r="O31" s="31"/>
      <c r="P31" s="138"/>
      <c r="Q31" s="46"/>
      <c r="R31" s="244"/>
      <c r="S31" s="91"/>
    </row>
    <row r="32" spans="1:35">
      <c r="A32" s="252"/>
      <c r="B32" s="289"/>
      <c r="C32" s="293"/>
      <c r="E32" s="8"/>
      <c r="F32" s="31"/>
      <c r="H32" s="8"/>
      <c r="I32" s="31"/>
      <c r="K32" s="8"/>
      <c r="L32" s="31"/>
      <c r="N32" s="8"/>
      <c r="O32" s="31"/>
      <c r="P32" s="10"/>
      <c r="Q32" s="82"/>
      <c r="R32" s="244"/>
      <c r="S32" s="91"/>
    </row>
    <row r="33" spans="1:19" ht="26">
      <c r="A33" s="253" t="s">
        <v>144</v>
      </c>
      <c r="B33" s="295"/>
      <c r="C33" s="299"/>
      <c r="D33" s="306">
        <f>[1]Testing!$B34:$P34</f>
        <v>145584.40600000013</v>
      </c>
      <c r="E33" s="6"/>
      <c r="F33" s="32"/>
      <c r="G33" s="57"/>
      <c r="H33" s="6"/>
      <c r="I33" s="32"/>
      <c r="J33" s="57"/>
      <c r="K33" s="6"/>
      <c r="L33" s="32"/>
      <c r="M33" s="57"/>
      <c r="N33" s="6"/>
      <c r="O33" s="32"/>
      <c r="P33" s="57"/>
      <c r="Q33" s="6"/>
      <c r="R33" s="32"/>
      <c r="S33" s="93"/>
    </row>
    <row r="34" spans="1:19">
      <c r="A34" s="252"/>
      <c r="B34" s="289"/>
      <c r="C34" s="290"/>
      <c r="D34" s="291"/>
      <c r="E34" s="8"/>
      <c r="F34" s="9"/>
      <c r="G34" s="10"/>
      <c r="H34" s="8"/>
      <c r="I34" s="9"/>
      <c r="J34" s="10"/>
      <c r="K34" s="8"/>
      <c r="L34" s="9"/>
      <c r="M34" s="10"/>
      <c r="N34" s="8"/>
      <c r="O34" s="9"/>
      <c r="P34" s="10"/>
      <c r="Q34" s="46"/>
      <c r="R34" s="244"/>
      <c r="S34" s="91"/>
    </row>
    <row r="35" spans="1:19">
      <c r="A35" s="254" t="s">
        <v>179</v>
      </c>
      <c r="B35" s="289"/>
      <c r="C35" s="290"/>
      <c r="D35" s="291">
        <f>[1]Testing!$B35:$P35</f>
        <v>0</v>
      </c>
      <c r="E35" s="8"/>
      <c r="F35" s="9"/>
      <c r="G35" s="10"/>
      <c r="H35" s="8"/>
      <c r="I35" s="9"/>
      <c r="J35" s="10"/>
      <c r="K35" s="8"/>
      <c r="L35" s="9"/>
      <c r="M35" s="10"/>
      <c r="N35" s="8"/>
      <c r="O35" s="9"/>
      <c r="P35" s="10"/>
      <c r="Q35" s="46"/>
      <c r="R35" s="244"/>
      <c r="S35" s="87"/>
    </row>
    <row r="36" spans="1:19">
      <c r="A36" s="252" t="s">
        <v>156</v>
      </c>
      <c r="B36" s="289">
        <f>[1]Testing!B36</f>
        <v>5</v>
      </c>
      <c r="C36" s="290"/>
      <c r="D36" s="291">
        <f>[1]Testing!$B36:$P36</f>
        <v>0</v>
      </c>
      <c r="E36" s="8"/>
      <c r="F36" s="9"/>
      <c r="G36" s="10"/>
      <c r="H36" s="8"/>
      <c r="I36" s="9"/>
      <c r="J36" s="10"/>
      <c r="K36" s="8"/>
      <c r="L36" s="9"/>
      <c r="M36" s="10"/>
      <c r="N36" s="8"/>
      <c r="O36" s="9"/>
      <c r="P36" s="10"/>
      <c r="Q36" s="46"/>
      <c r="R36" s="244"/>
      <c r="S36" s="87"/>
    </row>
    <row r="37" spans="1:19">
      <c r="A37" s="252" t="s">
        <v>157</v>
      </c>
      <c r="B37" s="289">
        <f>[1]Testing!B37</f>
        <v>0</v>
      </c>
      <c r="C37" s="290"/>
      <c r="D37" s="291">
        <f>[1]Testing!$B37:$P37</f>
        <v>0</v>
      </c>
      <c r="E37" s="8"/>
      <c r="F37" s="9"/>
      <c r="G37" s="10"/>
      <c r="H37" s="8"/>
      <c r="I37" s="9"/>
      <c r="J37" s="10"/>
      <c r="K37" s="8"/>
      <c r="L37" s="9"/>
      <c r="M37" s="10"/>
      <c r="N37" s="8"/>
      <c r="O37" s="9"/>
      <c r="P37" s="10"/>
      <c r="Q37" s="46"/>
      <c r="R37" s="244"/>
      <c r="S37" s="87"/>
    </row>
    <row r="38" spans="1:19">
      <c r="A38" s="252" t="s">
        <v>158</v>
      </c>
      <c r="B38" s="289">
        <f>[1]Testing!B38</f>
        <v>0</v>
      </c>
      <c r="C38" s="290"/>
      <c r="D38" s="291">
        <f>[1]Testing!$B38:$P38</f>
        <v>0</v>
      </c>
      <c r="E38" s="8"/>
      <c r="F38" s="9"/>
      <c r="G38" s="10"/>
      <c r="H38" s="8"/>
      <c r="I38" s="9"/>
      <c r="J38" s="10"/>
      <c r="K38" s="8"/>
      <c r="L38" s="9"/>
      <c r="M38" s="10"/>
      <c r="N38" s="8"/>
      <c r="O38" s="9"/>
      <c r="P38" s="10"/>
      <c r="Q38" s="8"/>
      <c r="R38" s="244"/>
      <c r="S38" s="10"/>
    </row>
    <row r="39" spans="1:19">
      <c r="A39" s="252" t="s">
        <v>180</v>
      </c>
      <c r="B39" s="289">
        <f>[1]Testing!B39</f>
        <v>0</v>
      </c>
      <c r="C39" s="290"/>
      <c r="D39" s="291"/>
      <c r="E39" s="8"/>
      <c r="F39" s="9"/>
      <c r="G39" s="10"/>
      <c r="H39" s="8"/>
      <c r="I39" s="9"/>
      <c r="J39" s="10"/>
      <c r="K39" s="8"/>
      <c r="L39" s="9"/>
      <c r="M39" s="10"/>
      <c r="N39" s="8"/>
      <c r="O39" s="9"/>
      <c r="P39" s="10"/>
      <c r="Q39" s="8"/>
      <c r="R39" s="244"/>
      <c r="S39" s="10"/>
    </row>
    <row r="40" spans="1:19">
      <c r="A40" s="246" t="s">
        <v>160</v>
      </c>
      <c r="B40" s="289">
        <f>[1]Testing!B40</f>
        <v>0</v>
      </c>
      <c r="C40" s="290"/>
      <c r="D40" s="291"/>
      <c r="E40" s="8"/>
      <c r="F40" s="9"/>
      <c r="G40" s="10"/>
      <c r="H40" s="8"/>
      <c r="I40" s="9"/>
      <c r="J40" s="10"/>
      <c r="K40" s="8"/>
      <c r="L40" s="9"/>
      <c r="M40" s="10"/>
      <c r="N40" s="8"/>
      <c r="O40" s="9"/>
      <c r="P40" s="10"/>
      <c r="Q40" s="8"/>
      <c r="R40" s="244"/>
      <c r="S40" s="10"/>
    </row>
    <row r="41" spans="1:19">
      <c r="A41" s="246" t="s">
        <v>161</v>
      </c>
      <c r="B41" s="289">
        <f>[1]Testing!B41</f>
        <v>0</v>
      </c>
      <c r="C41" s="290"/>
      <c r="D41" s="291"/>
      <c r="E41" s="8"/>
      <c r="F41" s="9"/>
      <c r="G41" s="10"/>
      <c r="H41" s="8"/>
      <c r="I41" s="9"/>
      <c r="J41" s="10"/>
      <c r="K41" s="8"/>
      <c r="L41" s="9"/>
      <c r="M41" s="10"/>
      <c r="N41" s="8"/>
      <c r="O41" s="9"/>
      <c r="P41" s="10"/>
      <c r="Q41" s="8"/>
      <c r="R41" s="244"/>
      <c r="S41" s="10"/>
    </row>
    <row r="42" spans="1:19">
      <c r="A42" s="246" t="s">
        <v>162</v>
      </c>
      <c r="B42" s="289">
        <f>[1]Testing!B42</f>
        <v>0</v>
      </c>
      <c r="C42" s="290"/>
      <c r="D42" s="291"/>
      <c r="E42" s="8"/>
      <c r="F42" s="9"/>
      <c r="G42" s="10"/>
      <c r="H42" s="8"/>
      <c r="I42" s="9"/>
      <c r="J42" s="10"/>
      <c r="K42" s="8"/>
      <c r="L42" s="9"/>
      <c r="M42" s="10"/>
      <c r="N42" s="8"/>
      <c r="O42" s="9"/>
      <c r="P42" s="10"/>
      <c r="Q42" s="8"/>
      <c r="R42" s="244"/>
      <c r="S42" s="10"/>
    </row>
    <row r="43" spans="1:19">
      <c r="A43" s="246" t="s">
        <v>163</v>
      </c>
      <c r="B43" s="289">
        <f>[1]Testing!B43</f>
        <v>5</v>
      </c>
      <c r="C43" s="290"/>
      <c r="D43" s="291"/>
      <c r="E43" s="8"/>
      <c r="F43" s="9"/>
      <c r="G43" s="10"/>
      <c r="H43" s="8"/>
      <c r="I43" s="9"/>
      <c r="J43" s="10"/>
      <c r="K43" s="8"/>
      <c r="L43" s="9"/>
      <c r="M43" s="10"/>
      <c r="N43" s="8"/>
      <c r="O43" s="9"/>
      <c r="P43" s="10"/>
      <c r="Q43" s="8"/>
      <c r="R43" s="244"/>
      <c r="S43" s="10"/>
    </row>
    <row r="44" spans="1:19">
      <c r="A44" s="246" t="s">
        <v>87</v>
      </c>
      <c r="B44" s="289">
        <f>[1]Testing!B44</f>
        <v>0</v>
      </c>
      <c r="C44" s="290"/>
      <c r="D44" s="291"/>
      <c r="E44" s="8"/>
      <c r="F44" s="9"/>
      <c r="G44" s="10"/>
      <c r="H44" s="8"/>
      <c r="I44" s="9"/>
      <c r="J44" s="10"/>
      <c r="K44" s="8"/>
      <c r="L44" s="9"/>
      <c r="M44" s="10"/>
      <c r="N44" s="8"/>
      <c r="O44" s="9"/>
      <c r="P44" s="10"/>
      <c r="Q44" s="8"/>
      <c r="R44" s="244"/>
      <c r="S44" s="10"/>
    </row>
    <row r="45" spans="1:19" ht="14" thickBot="1">
      <c r="A45" s="255" t="s">
        <v>181</v>
      </c>
      <c r="B45" s="311">
        <f>[1]Testing!B45</f>
        <v>0</v>
      </c>
      <c r="C45" s="312"/>
      <c r="D45" s="313"/>
      <c r="E45" s="12"/>
      <c r="F45" s="13"/>
      <c r="G45" s="14"/>
      <c r="H45" s="12"/>
      <c r="I45" s="13"/>
      <c r="J45" s="14"/>
      <c r="K45" s="12"/>
      <c r="L45" s="13"/>
      <c r="M45" s="14"/>
      <c r="N45" s="12"/>
      <c r="O45" s="13"/>
      <c r="P45" s="14"/>
      <c r="Q45" s="12"/>
      <c r="R45" s="245"/>
      <c r="S45" s="14"/>
    </row>
    <row r="46" spans="1:19">
      <c r="Q46" s="9"/>
      <c r="R46" s="9"/>
      <c r="S46" s="87"/>
    </row>
    <row r="47" spans="1:19" ht="14" thickBot="1">
      <c r="Q47" s="9"/>
      <c r="R47" s="9"/>
      <c r="S47" s="87"/>
    </row>
    <row r="48" spans="1:19" ht="14" thickTop="1">
      <c r="A48" s="258" t="s">
        <v>171</v>
      </c>
      <c r="B48" s="314">
        <v>2086172</v>
      </c>
      <c r="C48" s="315">
        <v>2187455</v>
      </c>
      <c r="D48" s="316">
        <v>1943102.37</v>
      </c>
      <c r="E48" s="259">
        <v>1833261</v>
      </c>
      <c r="F48" s="260">
        <v>2233327.1929824562</v>
      </c>
      <c r="G48" s="261">
        <v>580132.07999999996</v>
      </c>
      <c r="H48" s="259">
        <v>1907768</v>
      </c>
      <c r="I48" s="260">
        <v>2270422.1929824562</v>
      </c>
      <c r="J48" s="261">
        <v>0</v>
      </c>
      <c r="K48" s="259">
        <v>2010401</v>
      </c>
      <c r="L48" s="260">
        <v>2271809.4210526315</v>
      </c>
      <c r="M48" s="261">
        <v>0</v>
      </c>
      <c r="N48" s="259">
        <v>2079012</v>
      </c>
      <c r="O48" s="260">
        <v>2234790.1929824562</v>
      </c>
      <c r="P48" s="261">
        <v>0</v>
      </c>
      <c r="Q48" s="262">
        <v>7830442</v>
      </c>
      <c r="R48" s="263">
        <v>9010349</v>
      </c>
      <c r="S48" s="264"/>
    </row>
    <row r="49" spans="1:19">
      <c r="A49" s="265"/>
      <c r="B49" s="289"/>
      <c r="C49" s="290"/>
      <c r="D49" s="291">
        <v>0</v>
      </c>
      <c r="E49" s="8"/>
      <c r="F49" s="9"/>
      <c r="G49" s="10">
        <v>0</v>
      </c>
      <c r="H49" s="8"/>
      <c r="I49" s="9"/>
      <c r="J49" s="10">
        <v>0</v>
      </c>
      <c r="K49" s="8"/>
      <c r="L49" s="9"/>
      <c r="M49" s="10">
        <v>0</v>
      </c>
      <c r="N49" s="8"/>
      <c r="O49" s="9"/>
      <c r="P49" s="10">
        <v>0</v>
      </c>
      <c r="Q49" s="80"/>
      <c r="R49" s="50"/>
      <c r="S49" s="266"/>
    </row>
    <row r="50" spans="1:19">
      <c r="A50" s="265" t="s">
        <v>172</v>
      </c>
      <c r="B50" s="292">
        <v>1558175</v>
      </c>
      <c r="C50" s="293">
        <v>1634582</v>
      </c>
      <c r="D50" s="294">
        <v>1422891.67</v>
      </c>
      <c r="E50" s="26">
        <v>1462885.586544557</v>
      </c>
      <c r="F50" s="31">
        <v>1688803.5622445126</v>
      </c>
      <c r="G50" s="38">
        <v>425819</v>
      </c>
      <c r="H50" s="26">
        <v>1550519.2637847969</v>
      </c>
      <c r="I50" s="31">
        <v>1692388.6922445125</v>
      </c>
      <c r="J50" s="38">
        <v>0</v>
      </c>
      <c r="K50" s="26">
        <v>1580210.8253789439</v>
      </c>
      <c r="L50" s="31">
        <v>1688860.0695476918</v>
      </c>
      <c r="M50" s="38">
        <v>0</v>
      </c>
      <c r="N50" s="26">
        <v>1642476.6074846541</v>
      </c>
      <c r="O50" s="31">
        <v>1704624.9422445125</v>
      </c>
      <c r="P50" s="38">
        <v>0</v>
      </c>
      <c r="Q50" s="80">
        <v>6236092.2831929512</v>
      </c>
      <c r="R50" s="80">
        <v>6774677.2662812304</v>
      </c>
      <c r="S50" s="266"/>
    </row>
    <row r="51" spans="1:19">
      <c r="A51" s="265"/>
      <c r="B51" s="295"/>
      <c r="C51" s="296"/>
      <c r="D51" s="297"/>
      <c r="E51" s="6"/>
      <c r="F51" s="1"/>
      <c r="G51" s="7"/>
      <c r="H51" s="6"/>
      <c r="I51" s="1"/>
      <c r="J51" s="7"/>
      <c r="K51" s="6"/>
      <c r="L51" s="1"/>
      <c r="M51" s="7"/>
      <c r="N51" s="6"/>
      <c r="O51" s="1"/>
      <c r="P51" s="7"/>
      <c r="Q51" s="54"/>
      <c r="R51" s="56"/>
      <c r="S51" s="266"/>
    </row>
    <row r="52" spans="1:19">
      <c r="A52" s="267" t="s">
        <v>117</v>
      </c>
      <c r="B52" s="298">
        <v>527997</v>
      </c>
      <c r="C52" s="299">
        <v>552873</v>
      </c>
      <c r="D52" s="300">
        <v>520210.7</v>
      </c>
      <c r="E52" s="35">
        <v>370375.41345544299</v>
      </c>
      <c r="F52" s="32">
        <v>544523.63073794357</v>
      </c>
      <c r="G52" s="36">
        <v>154313.07999999999</v>
      </c>
      <c r="H52" s="35">
        <v>357248.73621520307</v>
      </c>
      <c r="I52" s="32">
        <v>578033.50073794369</v>
      </c>
      <c r="J52" s="36">
        <v>0</v>
      </c>
      <c r="K52" s="35">
        <v>430190.17462105607</v>
      </c>
      <c r="L52" s="32">
        <v>582949.35150493961</v>
      </c>
      <c r="M52" s="36">
        <v>0</v>
      </c>
      <c r="N52" s="35">
        <v>436535.39251534594</v>
      </c>
      <c r="O52" s="32">
        <v>530165.25073794369</v>
      </c>
      <c r="P52" s="36">
        <v>0</v>
      </c>
      <c r="Q52" s="32">
        <v>1594349.7168070488</v>
      </c>
      <c r="R52" s="32">
        <v>2235671.7337187696</v>
      </c>
      <c r="S52" s="266"/>
    </row>
    <row r="53" spans="1:19">
      <c r="A53" s="268"/>
      <c r="B53" s="289"/>
      <c r="C53" s="290"/>
      <c r="D53" s="291"/>
      <c r="E53" s="8"/>
      <c r="F53" s="9"/>
      <c r="G53" s="10"/>
      <c r="H53" s="8"/>
      <c r="I53" s="9"/>
      <c r="J53" s="10"/>
      <c r="K53" s="8"/>
      <c r="L53" s="9"/>
      <c r="M53" s="10"/>
      <c r="N53" s="8"/>
      <c r="O53" s="9"/>
      <c r="P53" s="10"/>
      <c r="Q53" s="50"/>
      <c r="R53" s="50"/>
      <c r="S53" s="266"/>
    </row>
    <row r="54" spans="1:19">
      <c r="A54" s="269" t="s">
        <v>173</v>
      </c>
      <c r="B54" s="289">
        <v>0.58742536695049252</v>
      </c>
      <c r="C54" s="290"/>
      <c r="D54" s="291"/>
      <c r="E54" s="8"/>
      <c r="F54" s="9"/>
      <c r="G54" s="10"/>
      <c r="H54" s="8"/>
      <c r="I54" s="9"/>
      <c r="J54" s="10"/>
      <c r="K54" s="8"/>
      <c r="L54" s="9"/>
      <c r="M54" s="10"/>
      <c r="N54" s="8"/>
      <c r="O54" s="9"/>
      <c r="P54" s="10"/>
      <c r="Q54" s="81"/>
      <c r="R54" s="50"/>
      <c r="S54" s="266"/>
    </row>
    <row r="55" spans="1:19">
      <c r="A55" s="268"/>
      <c r="B55" s="289"/>
      <c r="C55" s="290"/>
      <c r="D55" s="291"/>
      <c r="E55" s="8"/>
      <c r="F55" s="9"/>
      <c r="G55" s="10"/>
      <c r="H55" s="8"/>
      <c r="I55" s="9"/>
      <c r="J55" s="10"/>
      <c r="K55" s="8"/>
      <c r="L55" s="9"/>
      <c r="M55" s="10"/>
      <c r="N55" s="8"/>
      <c r="O55" s="9"/>
      <c r="P55" s="10"/>
      <c r="Q55" s="50"/>
      <c r="R55" s="50"/>
      <c r="S55" s="266"/>
    </row>
    <row r="56" spans="1:19">
      <c r="A56" s="270" t="s">
        <v>167</v>
      </c>
      <c r="B56" s="301">
        <v>0.63</v>
      </c>
      <c r="C56" s="302">
        <v>0.63</v>
      </c>
      <c r="D56" s="303">
        <v>0.63</v>
      </c>
      <c r="E56" s="11">
        <v>0.63</v>
      </c>
      <c r="F56" s="40">
        <v>0.63</v>
      </c>
      <c r="G56" s="44">
        <v>0.63</v>
      </c>
      <c r="H56" s="11">
        <v>0.63</v>
      </c>
      <c r="I56" s="40">
        <v>0.63</v>
      </c>
      <c r="J56" s="44">
        <v>0.63</v>
      </c>
      <c r="K56" s="11">
        <v>0.63</v>
      </c>
      <c r="L56" s="40">
        <v>0.63</v>
      </c>
      <c r="M56" s="44">
        <v>0.63</v>
      </c>
      <c r="N56" s="11">
        <v>0.63</v>
      </c>
      <c r="O56" s="40">
        <v>0.63</v>
      </c>
      <c r="P56" s="44">
        <v>0.63</v>
      </c>
      <c r="Q56" s="40"/>
      <c r="R56" s="40"/>
      <c r="S56" s="266"/>
    </row>
    <row r="57" spans="1:19" ht="14" thickBot="1">
      <c r="A57" s="265" t="s">
        <v>118</v>
      </c>
      <c r="B57" s="292">
        <v>131148</v>
      </c>
      <c r="C57" s="293">
        <v>131148</v>
      </c>
      <c r="D57" s="294">
        <v>139180</v>
      </c>
      <c r="E57" s="26">
        <v>131148</v>
      </c>
      <c r="F57" s="31">
        <v>131148</v>
      </c>
      <c r="G57" s="38">
        <v>0</v>
      </c>
      <c r="H57" s="8">
        <v>131148</v>
      </c>
      <c r="I57" s="9">
        <v>131148</v>
      </c>
      <c r="J57" s="10">
        <v>0</v>
      </c>
      <c r="K57" s="8">
        <v>131148</v>
      </c>
      <c r="L57" s="9">
        <v>131148</v>
      </c>
      <c r="M57" s="10">
        <v>0</v>
      </c>
      <c r="N57" s="8">
        <v>131148</v>
      </c>
      <c r="O57" s="9">
        <v>131148</v>
      </c>
      <c r="P57" s="10">
        <v>0</v>
      </c>
      <c r="Q57" s="80">
        <v>524592</v>
      </c>
      <c r="R57" s="80">
        <v>524592</v>
      </c>
      <c r="S57" s="271"/>
    </row>
    <row r="58" spans="1:19">
      <c r="A58" s="270" t="s">
        <v>168</v>
      </c>
      <c r="B58" s="301">
        <v>0.63</v>
      </c>
      <c r="C58" s="302">
        <v>0.63</v>
      </c>
      <c r="D58" s="303">
        <v>0.63</v>
      </c>
      <c r="E58" s="11">
        <v>0.63</v>
      </c>
      <c r="F58" s="40">
        <v>0.63</v>
      </c>
      <c r="G58" s="44">
        <v>0</v>
      </c>
      <c r="H58" s="11">
        <v>0.63</v>
      </c>
      <c r="I58" s="40">
        <v>0.63</v>
      </c>
      <c r="J58" s="44">
        <v>0.63</v>
      </c>
      <c r="K58" s="11">
        <v>0.63</v>
      </c>
      <c r="L58" s="40">
        <v>0.63</v>
      </c>
      <c r="M58" s="44">
        <v>0.63</v>
      </c>
      <c r="N58" s="11">
        <v>0.63</v>
      </c>
      <c r="O58" s="40">
        <v>0.63</v>
      </c>
      <c r="P58" s="44">
        <v>0.63</v>
      </c>
      <c r="Q58" s="137"/>
      <c r="R58" s="40"/>
      <c r="S58" s="272"/>
    </row>
    <row r="59" spans="1:19">
      <c r="A59" s="265" t="s">
        <v>119</v>
      </c>
      <c r="B59" s="292">
        <v>54311</v>
      </c>
      <c r="C59" s="293">
        <v>54311</v>
      </c>
      <c r="D59" s="294">
        <v>42678</v>
      </c>
      <c r="E59" s="26">
        <v>54311</v>
      </c>
      <c r="F59" s="31">
        <v>54311</v>
      </c>
      <c r="G59" s="38">
        <v>0</v>
      </c>
      <c r="H59" s="8">
        <v>54311</v>
      </c>
      <c r="I59" s="9">
        <v>54311</v>
      </c>
      <c r="J59" s="10">
        <v>0</v>
      </c>
      <c r="K59" s="8">
        <v>54311</v>
      </c>
      <c r="L59" s="9">
        <v>54311</v>
      </c>
      <c r="M59" s="10">
        <v>0</v>
      </c>
      <c r="N59" s="8">
        <v>54311</v>
      </c>
      <c r="O59" s="9">
        <v>54311</v>
      </c>
      <c r="P59" s="10">
        <v>0</v>
      </c>
      <c r="Q59" s="80">
        <v>217244</v>
      </c>
      <c r="R59" s="80">
        <v>217244</v>
      </c>
      <c r="S59" s="272"/>
    </row>
    <row r="60" spans="1:19">
      <c r="A60" s="270" t="s">
        <v>169</v>
      </c>
      <c r="B60" s="301">
        <v>0.63</v>
      </c>
      <c r="C60" s="302">
        <v>0.63</v>
      </c>
      <c r="D60" s="303">
        <v>0.63</v>
      </c>
      <c r="E60" s="11">
        <v>0.63</v>
      </c>
      <c r="F60" s="40">
        <v>0.63</v>
      </c>
      <c r="G60" s="44">
        <v>0</v>
      </c>
      <c r="H60" s="11">
        <v>0.63</v>
      </c>
      <c r="I60" s="40">
        <v>0.63</v>
      </c>
      <c r="J60" s="44">
        <v>0.63</v>
      </c>
      <c r="K60" s="11">
        <v>0.63</v>
      </c>
      <c r="L60" s="40">
        <v>0.63</v>
      </c>
      <c r="M60" s="44">
        <v>0.63</v>
      </c>
      <c r="N60" s="11">
        <v>0.63</v>
      </c>
      <c r="O60" s="40">
        <v>0.63</v>
      </c>
      <c r="P60" s="44">
        <v>0.63</v>
      </c>
      <c r="Q60" s="137"/>
      <c r="R60" s="40"/>
      <c r="S60" s="272"/>
    </row>
    <row r="61" spans="1:19">
      <c r="A61" s="273" t="s">
        <v>120</v>
      </c>
      <c r="B61" s="292">
        <v>37800</v>
      </c>
      <c r="C61" s="293">
        <v>37800</v>
      </c>
      <c r="D61" s="294">
        <v>55102</v>
      </c>
      <c r="E61" s="26">
        <v>37800</v>
      </c>
      <c r="F61" s="31">
        <v>37800</v>
      </c>
      <c r="G61" s="38">
        <v>0</v>
      </c>
      <c r="H61" s="8">
        <v>37800</v>
      </c>
      <c r="I61" s="9">
        <v>37800</v>
      </c>
      <c r="J61" s="10">
        <v>0</v>
      </c>
      <c r="K61" s="8">
        <v>37800</v>
      </c>
      <c r="L61" s="9">
        <v>37800</v>
      </c>
      <c r="M61" s="10">
        <v>0</v>
      </c>
      <c r="N61" s="8">
        <v>37800</v>
      </c>
      <c r="O61" s="9">
        <v>37800</v>
      </c>
      <c r="P61" s="10">
        <v>0</v>
      </c>
      <c r="Q61" s="54">
        <v>151200</v>
      </c>
      <c r="R61" s="54">
        <v>151200</v>
      </c>
      <c r="S61" s="272"/>
    </row>
    <row r="62" spans="1:19">
      <c r="A62" s="267" t="s">
        <v>174</v>
      </c>
      <c r="B62" s="298">
        <v>223259</v>
      </c>
      <c r="C62" s="299">
        <v>223259</v>
      </c>
      <c r="D62" s="300">
        <v>236960</v>
      </c>
      <c r="E62" s="35">
        <v>223259</v>
      </c>
      <c r="F62" s="32">
        <v>223259</v>
      </c>
      <c r="G62" s="36">
        <v>0</v>
      </c>
      <c r="H62" s="35">
        <v>223259</v>
      </c>
      <c r="I62" s="32">
        <v>223259</v>
      </c>
      <c r="J62" s="36">
        <v>0</v>
      </c>
      <c r="K62" s="35">
        <v>223259</v>
      </c>
      <c r="L62" s="32">
        <v>223259</v>
      </c>
      <c r="M62" s="36">
        <v>0</v>
      </c>
      <c r="N62" s="35">
        <v>223259</v>
      </c>
      <c r="O62" s="32">
        <v>223259</v>
      </c>
      <c r="P62" s="36">
        <v>0</v>
      </c>
      <c r="Q62" s="32">
        <v>893036</v>
      </c>
      <c r="R62" s="32">
        <v>893036</v>
      </c>
      <c r="S62" s="272"/>
    </row>
    <row r="63" spans="1:19">
      <c r="A63" s="268"/>
      <c r="B63" s="289"/>
      <c r="C63" s="290"/>
      <c r="D63" s="291"/>
      <c r="E63" s="8"/>
      <c r="F63" s="9"/>
      <c r="G63" s="10"/>
      <c r="H63" s="8"/>
      <c r="I63" s="9"/>
      <c r="J63" s="10"/>
      <c r="K63" s="8"/>
      <c r="L63" s="9"/>
      <c r="M63" s="10"/>
      <c r="N63" s="8"/>
      <c r="O63" s="9"/>
      <c r="P63" s="10"/>
      <c r="Q63" s="50"/>
      <c r="R63" s="50"/>
      <c r="S63" s="272"/>
    </row>
    <row r="64" spans="1:19">
      <c r="A64" s="267" t="s">
        <v>175</v>
      </c>
      <c r="B64" s="304">
        <v>304738</v>
      </c>
      <c r="C64" s="305">
        <v>329614</v>
      </c>
      <c r="D64" s="306">
        <v>283250.7</v>
      </c>
      <c r="E64" s="55">
        <v>147116.41345544299</v>
      </c>
      <c r="F64" s="56">
        <v>321264.63073794357</v>
      </c>
      <c r="G64" s="57">
        <v>154313.07999999999</v>
      </c>
      <c r="H64" s="55">
        <v>133989.73621520307</v>
      </c>
      <c r="I64" s="56">
        <v>354774.50073794369</v>
      </c>
      <c r="J64" s="57">
        <v>0</v>
      </c>
      <c r="K64" s="55">
        <v>206931.17462105607</v>
      </c>
      <c r="L64" s="56">
        <v>359690.35150493961</v>
      </c>
      <c r="M64" s="57">
        <v>0</v>
      </c>
      <c r="N64" s="55">
        <v>213276.39251534594</v>
      </c>
      <c r="O64" s="56">
        <v>306906.25073794369</v>
      </c>
      <c r="P64" s="57">
        <v>0</v>
      </c>
      <c r="Q64" s="56">
        <v>701313.71680704877</v>
      </c>
      <c r="R64" s="56">
        <v>1342635.7337187696</v>
      </c>
      <c r="S64" s="272"/>
    </row>
    <row r="65" spans="1:19">
      <c r="A65" s="268"/>
      <c r="B65" s="290"/>
      <c r="C65" s="290"/>
      <c r="D65" s="290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272"/>
    </row>
    <row r="66" spans="1:19">
      <c r="A66" s="268"/>
      <c r="B66" s="290" t="s">
        <v>182</v>
      </c>
      <c r="C66" s="290"/>
      <c r="D66" s="290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272"/>
    </row>
    <row r="67" spans="1:19" s="143" customFormat="1">
      <c r="A67" s="274" t="s">
        <v>171</v>
      </c>
      <c r="B67" s="317">
        <f t="shared" ref="B67:K67" si="4">B48-B6</f>
        <v>-18112</v>
      </c>
      <c r="C67" s="317">
        <f t="shared" si="4"/>
        <v>0</v>
      </c>
      <c r="D67" s="317">
        <f t="shared" si="4"/>
        <v>0</v>
      </c>
      <c r="E67" s="256">
        <f t="shared" si="4"/>
        <v>0</v>
      </c>
      <c r="F67" s="256">
        <f t="shared" si="4"/>
        <v>0</v>
      </c>
      <c r="G67" s="256">
        <f t="shared" si="4"/>
        <v>-4410.4000000001397</v>
      </c>
      <c r="H67" s="256">
        <f t="shared" si="4"/>
        <v>0</v>
      </c>
      <c r="I67" s="256">
        <f t="shared" si="4"/>
        <v>0</v>
      </c>
      <c r="J67" s="256">
        <f t="shared" si="4"/>
        <v>0</v>
      </c>
      <c r="K67" s="256">
        <f t="shared" si="4"/>
        <v>0</v>
      </c>
      <c r="L67" s="256">
        <f t="shared" ref="L67:R67" si="5">L48-L6</f>
        <v>0</v>
      </c>
      <c r="M67" s="256">
        <f t="shared" si="5"/>
        <v>0</v>
      </c>
      <c r="N67" s="256">
        <f t="shared" si="5"/>
        <v>0</v>
      </c>
      <c r="O67" s="256">
        <f t="shared" si="5"/>
        <v>0</v>
      </c>
      <c r="P67" s="256">
        <f t="shared" si="5"/>
        <v>0</v>
      </c>
      <c r="Q67" s="256">
        <f t="shared" si="5"/>
        <v>0</v>
      </c>
      <c r="R67" s="256">
        <f t="shared" si="5"/>
        <v>0</v>
      </c>
      <c r="S67" s="275"/>
    </row>
    <row r="68" spans="1:19" s="143" customFormat="1">
      <c r="A68" s="274"/>
      <c r="B68" s="317"/>
      <c r="C68" s="317"/>
      <c r="D68" s="317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75"/>
    </row>
    <row r="69" spans="1:19" s="143" customFormat="1">
      <c r="A69" s="274" t="s">
        <v>172</v>
      </c>
      <c r="B69" s="317">
        <f t="shared" ref="B69:K69" si="6">B50-B8</f>
        <v>-33526.929999999935</v>
      </c>
      <c r="C69" s="317">
        <f t="shared" si="6"/>
        <v>0</v>
      </c>
      <c r="D69" s="317">
        <f t="shared" si="6"/>
        <v>0</v>
      </c>
      <c r="E69" s="256">
        <f t="shared" si="6"/>
        <v>0</v>
      </c>
      <c r="F69" s="256">
        <f t="shared" si="6"/>
        <v>0</v>
      </c>
      <c r="G69" s="256">
        <f t="shared" si="6"/>
        <v>-4412.8199999999488</v>
      </c>
      <c r="H69" s="256">
        <f t="shared" si="6"/>
        <v>0</v>
      </c>
      <c r="I69" s="256">
        <f t="shared" si="6"/>
        <v>0</v>
      </c>
      <c r="J69" s="256">
        <f t="shared" si="6"/>
        <v>0</v>
      </c>
      <c r="K69" s="256">
        <f t="shared" si="6"/>
        <v>0</v>
      </c>
      <c r="L69" s="256">
        <f t="shared" ref="L69:R69" si="7">L50-L8</f>
        <v>0</v>
      </c>
      <c r="M69" s="256">
        <f t="shared" si="7"/>
        <v>0</v>
      </c>
      <c r="N69" s="256">
        <f t="shared" si="7"/>
        <v>0</v>
      </c>
      <c r="O69" s="256">
        <f t="shared" si="7"/>
        <v>0</v>
      </c>
      <c r="P69" s="256">
        <f t="shared" si="7"/>
        <v>0</v>
      </c>
      <c r="Q69" s="256">
        <f t="shared" si="7"/>
        <v>0</v>
      </c>
      <c r="R69" s="256">
        <f t="shared" si="7"/>
        <v>0</v>
      </c>
      <c r="S69" s="275"/>
    </row>
    <row r="70" spans="1:19">
      <c r="A70" s="265"/>
      <c r="B70" s="290"/>
      <c r="C70" s="290"/>
      <c r="D70" s="290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272"/>
    </row>
    <row r="71" spans="1:19">
      <c r="A71" s="267" t="s">
        <v>117</v>
      </c>
      <c r="B71" s="290"/>
      <c r="C71" s="290"/>
      <c r="D71" s="290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272"/>
    </row>
    <row r="72" spans="1:19">
      <c r="A72" s="268"/>
      <c r="B72" s="290"/>
      <c r="C72" s="290"/>
      <c r="D72" s="290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272"/>
    </row>
    <row r="73" spans="1:19">
      <c r="A73" s="269" t="s">
        <v>173</v>
      </c>
      <c r="B73" s="290"/>
      <c r="C73" s="290"/>
      <c r="D73" s="290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272"/>
    </row>
    <row r="74" spans="1:19">
      <c r="A74" s="268"/>
      <c r="B74" s="290"/>
      <c r="C74" s="290"/>
      <c r="D74" s="290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272"/>
    </row>
    <row r="75" spans="1:19">
      <c r="A75" s="270" t="s">
        <v>167</v>
      </c>
      <c r="B75" s="290"/>
      <c r="C75" s="290"/>
      <c r="D75" s="290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272"/>
    </row>
    <row r="76" spans="1:19">
      <c r="A76" s="265" t="s">
        <v>118</v>
      </c>
      <c r="B76" s="290"/>
      <c r="C76" s="290"/>
      <c r="D76" s="29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272"/>
    </row>
    <row r="77" spans="1:19">
      <c r="A77" s="270" t="s">
        <v>168</v>
      </c>
      <c r="B77" s="290"/>
      <c r="C77" s="290"/>
      <c r="D77" s="290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272"/>
    </row>
    <row r="78" spans="1:19">
      <c r="A78" s="265" t="s">
        <v>119</v>
      </c>
      <c r="B78" s="290"/>
      <c r="C78" s="290"/>
      <c r="D78" s="290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272"/>
    </row>
    <row r="79" spans="1:19">
      <c r="A79" s="270" t="s">
        <v>169</v>
      </c>
      <c r="B79" s="290"/>
      <c r="C79" s="290"/>
      <c r="D79" s="290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272"/>
    </row>
    <row r="80" spans="1:19">
      <c r="A80" s="273" t="s">
        <v>120</v>
      </c>
      <c r="B80" s="290"/>
      <c r="C80" s="290"/>
      <c r="D80" s="290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272"/>
    </row>
    <row r="81" spans="1:19" ht="14" thickBot="1">
      <c r="A81" s="276" t="s">
        <v>174</v>
      </c>
      <c r="B81" s="318"/>
      <c r="C81" s="318"/>
      <c r="D81" s="318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8"/>
    </row>
    <row r="82" spans="1:19" ht="14" thickTop="1"/>
    <row r="83" spans="1:19">
      <c r="A83" s="39" t="s">
        <v>175</v>
      </c>
    </row>
  </sheetData>
  <sheetProtection password="C5F2" sheet="1" objects="1" scenarios="1"/>
  <pageMargins left="0.05" right="0.05" top="1" bottom="1" header="0.5" footer="0.5"/>
  <pageSetup paperSize="0" scale="25" firstPageNumber="3" orientation="landscape" useFirstPageNumber="1" horizontalDpi="4294967292" verticalDpi="4294967292"/>
  <headerFooter>
    <oddHeader>&amp;A</oddHeader>
    <oddFooter>&amp;L&amp;F&amp; / [Tab]&amp;C&amp;D       &amp;T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Summary</vt:lpstr>
      <vt:lpstr>CAE</vt:lpstr>
      <vt:lpstr>Testing</vt:lpstr>
      <vt:lpstr>Equipment</vt:lpstr>
      <vt:lpstr>Process</vt:lpstr>
      <vt:lpstr>Finance</vt:lpstr>
      <vt:lpstr>Information</vt:lpstr>
      <vt:lpstr>Admin</vt:lpstr>
      <vt:lpstr>90</vt:lpstr>
      <vt:lpstr>Instruments</vt:lpstr>
      <vt:lpstr>sheet 10</vt:lpstr>
      <vt:lpstr>sheet 11</vt:lpstr>
      <vt:lpstr>Sheet14</vt:lpstr>
      <vt:lpstr>Sheet15</vt:lpstr>
      <vt:lpstr>Sheet16</vt:lpstr>
      <vt:lpstr>Sheet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1206MSO421</dc:creator>
  <cp:keywords/>
  <dc:description/>
  <cp:lastModifiedBy>Bill Walker</cp:lastModifiedBy>
  <dcterms:created xsi:type="dcterms:W3CDTF">2012-01-03T15:54:13Z</dcterms:created>
  <dcterms:modified xsi:type="dcterms:W3CDTF">2012-01-03T15:54:15Z</dcterms:modified>
</cp:coreProperties>
</file>