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5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chartsheets/sheet2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21.xml" ContentType="application/vnd.openxmlformats-officedocument.spreadsheetml.chartsheet+xml"/>
  <Override PartName="/xl/chartsheets/sheet22.xml" ContentType="application/vnd.openxmlformats-officedocument.spreadsheetml.chartsheet+xml"/>
  <Override PartName="/xl/chartsheets/sheet23.xml" ContentType="application/vnd.openxmlformats-officedocument.spreadsheetml.chart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9.xml" ContentType="application/vnd.openxmlformats-officedocument.spreadsheetml.worksheet+xml"/>
  <Override PartName="/xl/chartsheets/sheet26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chartsheets/sheet27.xml" ContentType="application/vnd.openxmlformats-officedocument.spreadsheetml.chartsheet+xml"/>
  <Override PartName="/xl/chartsheets/sheet2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6.xml" ContentType="application/vnd.openxmlformats-officedocument.drawingml.chart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drawings/drawing28.xml" ContentType="application/vnd.openxmlformats-officedocument.drawing+xml"/>
  <Override PartName="/xl/charts/chart21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omments2.xml" ContentType="application/vnd.openxmlformats-officedocument.spreadsheetml.comments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26.xml" ContentType="application/vnd.openxmlformats-officedocument.drawingml.chart+xml"/>
  <Override PartName="/xl/drawings/drawing37.xml" ContentType="application/vnd.openxmlformats-officedocument.drawing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9.xml" ContentType="application/vnd.openxmlformats-officedocument.drawingml.chart+xml"/>
  <Override PartName="/xl/drawings/drawing42.xml" ContentType="application/vnd.openxmlformats-officedocument.drawing+xml"/>
  <Override PartName="/xl/charts/chart30.xml" ContentType="application/vnd.openxmlformats-officedocument.drawingml.chart+xml"/>
  <Override PartName="/xl/drawings/drawing43.xml" ContentType="application/vnd.openxmlformats-officedocument.drawing+xml"/>
  <Override PartName="/xl/charts/chart31.xml" ContentType="application/vnd.openxmlformats-officedocument.drawingml.chart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32.xml" ContentType="application/vnd.openxmlformats-officedocument.drawingml.chart+xml"/>
  <Override PartName="/xl/drawings/drawing46.xml" ContentType="application/vnd.openxmlformats-officedocument.drawingml.chartshapes+xml"/>
  <Override PartName="/xl/comments3.xml" ContentType="application/vnd.openxmlformats-officedocument.spreadsheetml.comments+xml"/>
  <Override PartName="/xl/drawings/drawing47.xml" ContentType="application/vnd.openxmlformats-officedocument.drawing+xml"/>
  <Override PartName="/xl/comments4.xml" ContentType="application/vnd.openxmlformats-officedocument.spreadsheetml.comments+xml"/>
  <Override PartName="/xl/charts/chart33.xml" ContentType="application/vnd.openxmlformats-officedocument.drawingml.chart+xml"/>
  <Override PartName="/xl/drawings/drawing48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9.xml" ContentType="application/vnd.openxmlformats-officedocument.drawingml.chartshapes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0.xml" ContentType="application/vnd.openxmlformats-officedocument.drawing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+xml"/>
  <Override PartName="/xl/charts/chart41.xml" ContentType="application/vnd.openxmlformats-officedocument.drawingml.chart+xml"/>
  <Override PartName="/xl/drawings/drawing53.xml" ContentType="application/vnd.openxmlformats-officedocument.drawing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date1904="1" showInkAnnotation="0" backupFile="1" codeName="ThisWorkbook" checkCompatibility="1" autoCompressPictures="0"/>
  <bookViews>
    <workbookView xWindow="1680" yWindow="0" windowWidth="51160" windowHeight="21980" tabRatio="762" activeTab="25"/>
  </bookViews>
  <sheets>
    <sheet name="year data" sheetId="54" r:id="rId1"/>
    <sheet name="Month S&amp;P" sheetId="1" r:id="rId2"/>
    <sheet name="yearly_p_vs_s" sheetId="27" r:id="rId3"/>
    <sheet name="Project" sheetId="8661" r:id="rId4"/>
    <sheet name="12m_s&amp;p (2)" sheetId="8652" r:id="rId5"/>
    <sheet name="12m_s&amp;p" sheetId="40" r:id="rId6"/>
    <sheet name="Debt" sheetId="2" r:id="rId7"/>
    <sheet name="Debt Cht" sheetId="8650" r:id="rId8"/>
    <sheet name="P_Improve" sheetId="3" r:id="rId9"/>
    <sheet name="trailing_12_months" sheetId="4" r:id="rId10"/>
    <sheet name="p_vs_s" sheetId="24" r:id="rId11"/>
    <sheet name="SPC mo new" sheetId="51" r:id="rId12"/>
    <sheet name="Qrt SPC aft dec98" sheetId="5" r:id="rId13"/>
    <sheet name="P &amp; L 12yr" sheetId="39" r:id="rId14"/>
    <sheet name="Qtr P SPC" sheetId="7" r:id="rId15"/>
    <sheet name="winter_m_p&amp;l" sheetId="8" r:id="rId16"/>
    <sheet name="s_growth" sheetId="6" r:id="rId17"/>
    <sheet name="s_by_qtr" sheetId="9" r:id="rId18"/>
    <sheet name="profit_ytd" sheetId="55" r:id="rId19"/>
    <sheet name="71 Data" sheetId="56" r:id="rId20"/>
    <sheet name="71 trend" sheetId="42" r:id="rId21"/>
    <sheet name="CAEE nut" sheetId="8653" r:id="rId22"/>
    <sheet name="CAEE Data" sheetId="46" r:id="rId23"/>
    <sheet name="CAEE 12m chart " sheetId="49" r:id="rId24"/>
    <sheet name="CAEE_p" sheetId="58" r:id="rId25"/>
    <sheet name="CAEE P vs S" sheetId="8655" r:id="rId26"/>
    <sheet name="CAEE PvsS All" sheetId="8657" r:id="rId27"/>
    <sheet name="Exp Data" sheetId="36" r:id="rId28"/>
    <sheet name="Exp_p_vs_s 03-05" sheetId="35" r:id="rId29"/>
    <sheet name="Exp_p" sheetId="47" r:id="rId30"/>
    <sheet name="Exp qtr p" sheetId="50" r:id="rId31"/>
    <sheet name="CAEE+Exp_p" sheetId="30" r:id="rId32"/>
    <sheet name="stock_price_cht" sheetId="37" r:id="rId33"/>
    <sheet name="Stock price" sheetId="8654" r:id="rId34"/>
    <sheet name="Profit vs goal" sheetId="8658" r:id="rId35"/>
    <sheet name="Stock$ Cal Data" sheetId="28" r:id="rId36"/>
    <sheet name="Opt price" sheetId="62" r:id="rId37"/>
    <sheet name="CAEE BS Nov" sheetId="63" r:id="rId38"/>
    <sheet name="CAEE BS Liz" sheetId="59" r:id="rId39"/>
    <sheet name="Stock$ Data FR" sheetId="31" r:id="rId40"/>
    <sheet name="BS" sheetId="12" r:id="rId41"/>
    <sheet name="By Team" sheetId="64" r:id="rId42"/>
    <sheet name="Lab" sheetId="65" r:id="rId43"/>
    <sheet name="yr to yr comp" sheetId="25" r:id="rId44"/>
    <sheet name="Sep 99 BS" sheetId="60" r:id="rId45"/>
    <sheet name="France Accounts" sheetId="61" r:id="rId46"/>
    <sheet name="CAEE BS 01-02" sheetId="8651" r:id="rId47"/>
    <sheet name="Rabiha's Accts" sheetId="13" r:id="rId48"/>
    <sheet name="By Group" sheetId="8648" r:id="rId49"/>
    <sheet name="Sales by Month" sheetId="8656" r:id="rId50"/>
    <sheet name="CAEE rolling nut" sheetId="8659" r:id="rId51"/>
  </sheets>
  <definedNames>
    <definedName name="_xlnm._FilterDatabase" localSheetId="1" hidden="1">'Month S&amp;P'!$A$1:$HB$342</definedName>
    <definedName name="_xlnm.Database">#REF!</definedName>
    <definedName name="_xlnm.Print_Area" localSheetId="1">'Month S&amp;P'!$AA$2:$AG$14</definedName>
    <definedName name="_xlnm.Print_Area" localSheetId="43">'yr to yr comp'!$A$1:$Y$39</definedName>
    <definedName name="_xlnm.Print_Titles" localSheetId="37">'CAEE BS Nov'!$4:$5</definedName>
  </definedNames>
  <calcPr calcId="140001" concurrentCalc="0"/>
  <webPublishing allowPng="1" targetScreenSize="1024x768" dpi="72" codePage="10000"/>
  <extLst>
    <ext xmlns:mx="http://schemas.microsoft.com/office/mac/excel/2008/main" uri="{7523E5D3-25F3-A5E0-1632-64F254C22452}">
      <mx:AutoWeb TWS="0" Flags="0" Path="Macintosh HD:Users:bwalker:Sites:wwwcleanairnet:team90intranet:financials:Current FINANCIAL WORKBK.htm"/>
      <mx:ArchID Flags="2"/>
    </ext>
  </extLst>
</workbook>
</file>

<file path=xl/calcChain.xml><?xml version="1.0" encoding="utf-8"?>
<calcChain xmlns="http://schemas.openxmlformats.org/spreadsheetml/2006/main">
  <c r="J485" i="1" l="1"/>
  <c r="K485" i="1"/>
  <c r="L485" i="1"/>
  <c r="P485" i="1"/>
  <c r="Q485" i="1"/>
  <c r="R485" i="1"/>
  <c r="S485" i="1"/>
  <c r="T485" i="1"/>
  <c r="U485" i="1"/>
  <c r="J486" i="1"/>
  <c r="K486" i="1"/>
  <c r="L486" i="1"/>
  <c r="P486" i="1"/>
  <c r="Q486" i="1"/>
  <c r="R486" i="1"/>
  <c r="S486" i="1"/>
  <c r="T486" i="1"/>
  <c r="U486" i="1"/>
  <c r="J487" i="1"/>
  <c r="K487" i="1"/>
  <c r="L487" i="1"/>
  <c r="P487" i="1"/>
  <c r="Q487" i="1"/>
  <c r="R487" i="1"/>
  <c r="S487" i="1"/>
  <c r="T487" i="1"/>
  <c r="U487" i="1"/>
  <c r="J488" i="1"/>
  <c r="K488" i="1"/>
  <c r="L488" i="1"/>
  <c r="P488" i="1"/>
  <c r="Q488" i="1"/>
  <c r="R488" i="1"/>
  <c r="S488" i="1"/>
  <c r="T488" i="1"/>
  <c r="U488" i="1"/>
  <c r="J489" i="1"/>
  <c r="K489" i="1"/>
  <c r="L489" i="1"/>
  <c r="P489" i="1"/>
  <c r="Q489" i="1"/>
  <c r="R489" i="1"/>
  <c r="S489" i="1"/>
  <c r="T489" i="1"/>
  <c r="U489" i="1"/>
  <c r="J490" i="1"/>
  <c r="K490" i="1"/>
  <c r="L490" i="1"/>
  <c r="P490" i="1"/>
  <c r="Q490" i="1"/>
  <c r="R490" i="1"/>
  <c r="S490" i="1"/>
  <c r="T490" i="1"/>
  <c r="U490" i="1"/>
  <c r="J491" i="1"/>
  <c r="K491" i="1"/>
  <c r="L491" i="1"/>
  <c r="P491" i="1"/>
  <c r="Q491" i="1"/>
  <c r="R491" i="1"/>
  <c r="S491" i="1"/>
  <c r="T491" i="1"/>
  <c r="U491" i="1"/>
  <c r="J492" i="1"/>
  <c r="K492" i="1"/>
  <c r="L492" i="1"/>
  <c r="P492" i="1"/>
  <c r="Q492" i="1"/>
  <c r="R492" i="1"/>
  <c r="S492" i="1"/>
  <c r="T492" i="1"/>
  <c r="U492" i="1"/>
  <c r="J493" i="1"/>
  <c r="K493" i="1"/>
  <c r="L493" i="1"/>
  <c r="P493" i="1"/>
  <c r="Q493" i="1"/>
  <c r="R493" i="1"/>
  <c r="S493" i="1"/>
  <c r="T493" i="1"/>
  <c r="U493" i="1"/>
  <c r="J494" i="1"/>
  <c r="K494" i="1"/>
  <c r="L494" i="1"/>
  <c r="P494" i="1"/>
  <c r="Q494" i="1"/>
  <c r="R494" i="1"/>
  <c r="S494" i="1"/>
  <c r="T494" i="1"/>
  <c r="U494" i="1"/>
  <c r="J495" i="1"/>
  <c r="K495" i="1"/>
  <c r="L495" i="1"/>
  <c r="P495" i="1"/>
  <c r="Q495" i="1"/>
  <c r="R495" i="1"/>
  <c r="S495" i="1"/>
  <c r="T495" i="1"/>
  <c r="U495" i="1"/>
  <c r="J496" i="1"/>
  <c r="K496" i="1"/>
  <c r="L496" i="1"/>
  <c r="P496" i="1"/>
  <c r="Q496" i="1"/>
  <c r="R496" i="1"/>
  <c r="S496" i="1"/>
  <c r="T496" i="1"/>
  <c r="U496" i="1"/>
  <c r="J497" i="1"/>
  <c r="K497" i="1"/>
  <c r="L497" i="1"/>
  <c r="P497" i="1"/>
  <c r="Q497" i="1"/>
  <c r="R497" i="1"/>
  <c r="S497" i="1"/>
  <c r="T497" i="1"/>
  <c r="U497" i="1"/>
  <c r="J498" i="1"/>
  <c r="K498" i="1"/>
  <c r="L498" i="1"/>
  <c r="P498" i="1"/>
  <c r="Q498" i="1"/>
  <c r="R498" i="1"/>
  <c r="S498" i="1"/>
  <c r="T498" i="1"/>
  <c r="U498" i="1"/>
  <c r="J499" i="1"/>
  <c r="K499" i="1"/>
  <c r="L499" i="1"/>
  <c r="P499" i="1"/>
  <c r="Q499" i="1"/>
  <c r="R499" i="1"/>
  <c r="S499" i="1"/>
  <c r="T499" i="1"/>
  <c r="U499" i="1"/>
  <c r="J500" i="1"/>
  <c r="K500" i="1"/>
  <c r="L500" i="1"/>
  <c r="P500" i="1"/>
  <c r="Q500" i="1"/>
  <c r="R500" i="1"/>
  <c r="S500" i="1"/>
  <c r="T500" i="1"/>
  <c r="U500" i="1"/>
  <c r="J501" i="1"/>
  <c r="K501" i="1"/>
  <c r="L501" i="1"/>
  <c r="P501" i="1"/>
  <c r="Q501" i="1"/>
  <c r="R501" i="1"/>
  <c r="S501" i="1"/>
  <c r="T501" i="1"/>
  <c r="U501" i="1"/>
  <c r="J502" i="1"/>
  <c r="K502" i="1"/>
  <c r="L502" i="1"/>
  <c r="P502" i="1"/>
  <c r="Q502" i="1"/>
  <c r="R502" i="1"/>
  <c r="S502" i="1"/>
  <c r="T502" i="1"/>
  <c r="U502" i="1"/>
  <c r="J503" i="1"/>
  <c r="K503" i="1"/>
  <c r="L503" i="1"/>
  <c r="P503" i="1"/>
  <c r="Q503" i="1"/>
  <c r="R503" i="1"/>
  <c r="S503" i="1"/>
  <c r="T503" i="1"/>
  <c r="U503" i="1"/>
  <c r="J504" i="1"/>
  <c r="K504" i="1"/>
  <c r="L504" i="1"/>
  <c r="P504" i="1"/>
  <c r="Q504" i="1"/>
  <c r="R504" i="1"/>
  <c r="S504" i="1"/>
  <c r="T504" i="1"/>
  <c r="U504" i="1"/>
  <c r="J505" i="1"/>
  <c r="K505" i="1"/>
  <c r="L505" i="1"/>
  <c r="P505" i="1"/>
  <c r="Q505" i="1"/>
  <c r="R505" i="1"/>
  <c r="S505" i="1"/>
  <c r="T505" i="1"/>
  <c r="U505" i="1"/>
  <c r="J506" i="1"/>
  <c r="K506" i="1"/>
  <c r="L506" i="1"/>
  <c r="P506" i="1"/>
  <c r="Q506" i="1"/>
  <c r="R506" i="1"/>
  <c r="S506" i="1"/>
  <c r="T506" i="1"/>
  <c r="U506" i="1"/>
  <c r="J507" i="1"/>
  <c r="K507" i="1"/>
  <c r="L507" i="1"/>
  <c r="P507" i="1"/>
  <c r="Q507" i="1"/>
  <c r="R507" i="1"/>
  <c r="S507" i="1"/>
  <c r="T507" i="1"/>
  <c r="U507" i="1"/>
  <c r="J508" i="1"/>
  <c r="K508" i="1"/>
  <c r="L508" i="1"/>
  <c r="P508" i="1"/>
  <c r="Q508" i="1"/>
  <c r="R508" i="1"/>
  <c r="S508" i="1"/>
  <c r="T508" i="1"/>
  <c r="U508" i="1"/>
  <c r="J509" i="1"/>
  <c r="K509" i="1"/>
  <c r="L509" i="1"/>
  <c r="P509" i="1"/>
  <c r="Q509" i="1"/>
  <c r="R509" i="1"/>
  <c r="S509" i="1"/>
  <c r="T509" i="1"/>
  <c r="U509" i="1"/>
  <c r="D291" i="1"/>
  <c r="E291" i="1"/>
  <c r="F291" i="1"/>
  <c r="G291" i="1"/>
  <c r="H291" i="1"/>
  <c r="I291" i="1"/>
  <c r="J291" i="1"/>
  <c r="L291" i="1"/>
  <c r="M291" i="1"/>
  <c r="N291" i="1"/>
  <c r="O291" i="1"/>
  <c r="P291" i="1"/>
  <c r="Q291" i="1"/>
  <c r="R291" i="1"/>
  <c r="S291" i="1"/>
  <c r="T291" i="1"/>
  <c r="U291" i="1"/>
  <c r="W291" i="1"/>
  <c r="X291" i="1"/>
  <c r="Y291" i="1"/>
  <c r="D292" i="1"/>
  <c r="E292" i="1"/>
  <c r="F292" i="1"/>
  <c r="G292" i="1"/>
  <c r="H292" i="1"/>
  <c r="I292" i="1"/>
  <c r="J292" i="1"/>
  <c r="L292" i="1"/>
  <c r="M292" i="1"/>
  <c r="N292" i="1"/>
  <c r="O292" i="1"/>
  <c r="P292" i="1"/>
  <c r="Q292" i="1"/>
  <c r="R292" i="1"/>
  <c r="S292" i="1"/>
  <c r="T292" i="1"/>
  <c r="U292" i="1"/>
  <c r="W292" i="1"/>
  <c r="X292" i="1"/>
  <c r="Y292" i="1"/>
  <c r="D293" i="1"/>
  <c r="E293" i="1"/>
  <c r="F293" i="1"/>
  <c r="G293" i="1"/>
  <c r="H293" i="1"/>
  <c r="I293" i="1"/>
  <c r="J293" i="1"/>
  <c r="L293" i="1"/>
  <c r="M293" i="1"/>
  <c r="N293" i="1"/>
  <c r="O293" i="1"/>
  <c r="P293" i="1"/>
  <c r="Q293" i="1"/>
  <c r="R293" i="1"/>
  <c r="S293" i="1"/>
  <c r="T293" i="1"/>
  <c r="U293" i="1"/>
  <c r="W293" i="1"/>
  <c r="X293" i="1"/>
  <c r="Y293" i="1"/>
  <c r="D294" i="1"/>
  <c r="E294" i="1"/>
  <c r="F294" i="1"/>
  <c r="G294" i="1"/>
  <c r="H294" i="1"/>
  <c r="I294" i="1"/>
  <c r="J294" i="1"/>
  <c r="L294" i="1"/>
  <c r="M294" i="1"/>
  <c r="N294" i="1"/>
  <c r="O294" i="1"/>
  <c r="P294" i="1"/>
  <c r="Q294" i="1"/>
  <c r="R294" i="1"/>
  <c r="S294" i="1"/>
  <c r="T294" i="1"/>
  <c r="U294" i="1"/>
  <c r="W294" i="1"/>
  <c r="X294" i="1"/>
  <c r="Y294" i="1"/>
  <c r="D295" i="1"/>
  <c r="E295" i="1"/>
  <c r="F295" i="1"/>
  <c r="G295" i="1"/>
  <c r="H295" i="1"/>
  <c r="I295" i="1"/>
  <c r="J295" i="1"/>
  <c r="L295" i="1"/>
  <c r="M295" i="1"/>
  <c r="N295" i="1"/>
  <c r="O295" i="1"/>
  <c r="P295" i="1"/>
  <c r="Q295" i="1"/>
  <c r="R295" i="1"/>
  <c r="S295" i="1"/>
  <c r="T295" i="1"/>
  <c r="U295" i="1"/>
  <c r="W295" i="1"/>
  <c r="X295" i="1"/>
  <c r="Y295" i="1"/>
  <c r="D296" i="1"/>
  <c r="E296" i="1"/>
  <c r="F296" i="1"/>
  <c r="G296" i="1"/>
  <c r="H296" i="1"/>
  <c r="I296" i="1"/>
  <c r="J296" i="1"/>
  <c r="L296" i="1"/>
  <c r="M296" i="1"/>
  <c r="N296" i="1"/>
  <c r="O296" i="1"/>
  <c r="P296" i="1"/>
  <c r="Q296" i="1"/>
  <c r="R296" i="1"/>
  <c r="S296" i="1"/>
  <c r="T296" i="1"/>
  <c r="U296" i="1"/>
  <c r="W296" i="1"/>
  <c r="X296" i="1"/>
  <c r="Y296" i="1"/>
  <c r="D297" i="1"/>
  <c r="E297" i="1"/>
  <c r="F297" i="1"/>
  <c r="G297" i="1"/>
  <c r="H297" i="1"/>
  <c r="I297" i="1"/>
  <c r="J297" i="1"/>
  <c r="L297" i="1"/>
  <c r="M297" i="1"/>
  <c r="N297" i="1"/>
  <c r="O297" i="1"/>
  <c r="P297" i="1"/>
  <c r="Q297" i="1"/>
  <c r="R297" i="1"/>
  <c r="S297" i="1"/>
  <c r="T297" i="1"/>
  <c r="U297" i="1"/>
  <c r="W297" i="1"/>
  <c r="X297" i="1"/>
  <c r="Y297" i="1"/>
  <c r="D298" i="1"/>
  <c r="E298" i="1"/>
  <c r="F298" i="1"/>
  <c r="G298" i="1"/>
  <c r="H298" i="1"/>
  <c r="I298" i="1"/>
  <c r="J298" i="1"/>
  <c r="L298" i="1"/>
  <c r="M298" i="1"/>
  <c r="N298" i="1"/>
  <c r="O298" i="1"/>
  <c r="P298" i="1"/>
  <c r="Q298" i="1"/>
  <c r="R298" i="1"/>
  <c r="S298" i="1"/>
  <c r="T298" i="1"/>
  <c r="U298" i="1"/>
  <c r="W298" i="1"/>
  <c r="X298" i="1"/>
  <c r="Y298" i="1"/>
  <c r="D299" i="1"/>
  <c r="E299" i="1"/>
  <c r="F299" i="1"/>
  <c r="G299" i="1"/>
  <c r="H299" i="1"/>
  <c r="I299" i="1"/>
  <c r="J299" i="1"/>
  <c r="L299" i="1"/>
  <c r="M299" i="1"/>
  <c r="N299" i="1"/>
  <c r="O299" i="1"/>
  <c r="P299" i="1"/>
  <c r="Q299" i="1"/>
  <c r="R299" i="1"/>
  <c r="S299" i="1"/>
  <c r="T299" i="1"/>
  <c r="U299" i="1"/>
  <c r="W299" i="1"/>
  <c r="X299" i="1"/>
  <c r="Y299" i="1"/>
  <c r="D300" i="1"/>
  <c r="E300" i="1"/>
  <c r="F300" i="1"/>
  <c r="G300" i="1"/>
  <c r="H300" i="1"/>
  <c r="I300" i="1"/>
  <c r="J300" i="1"/>
  <c r="L300" i="1"/>
  <c r="M300" i="1"/>
  <c r="N300" i="1"/>
  <c r="O300" i="1"/>
  <c r="P300" i="1"/>
  <c r="Q300" i="1"/>
  <c r="R300" i="1"/>
  <c r="S300" i="1"/>
  <c r="T300" i="1"/>
  <c r="U300" i="1"/>
  <c r="W300" i="1"/>
  <c r="X300" i="1"/>
  <c r="Y300" i="1"/>
  <c r="D301" i="1"/>
  <c r="E301" i="1"/>
  <c r="F301" i="1"/>
  <c r="G301" i="1"/>
  <c r="H301" i="1"/>
  <c r="I301" i="1"/>
  <c r="J301" i="1"/>
  <c r="L301" i="1"/>
  <c r="M301" i="1"/>
  <c r="N301" i="1"/>
  <c r="O301" i="1"/>
  <c r="P301" i="1"/>
  <c r="Q301" i="1"/>
  <c r="R301" i="1"/>
  <c r="S301" i="1"/>
  <c r="T301" i="1"/>
  <c r="U301" i="1"/>
  <c r="W301" i="1"/>
  <c r="X301" i="1"/>
  <c r="Y301" i="1"/>
  <c r="D302" i="1"/>
  <c r="E302" i="1"/>
  <c r="F302" i="1"/>
  <c r="G302" i="1"/>
  <c r="H302" i="1"/>
  <c r="I302" i="1"/>
  <c r="J302" i="1"/>
  <c r="L302" i="1"/>
  <c r="M302" i="1"/>
  <c r="N302" i="1"/>
  <c r="O302" i="1"/>
  <c r="P302" i="1"/>
  <c r="Q302" i="1"/>
  <c r="R302" i="1"/>
  <c r="S302" i="1"/>
  <c r="T302" i="1"/>
  <c r="U302" i="1"/>
  <c r="W302" i="1"/>
  <c r="X302" i="1"/>
  <c r="Y302" i="1"/>
  <c r="D303" i="1"/>
  <c r="E303" i="1"/>
  <c r="F303" i="1"/>
  <c r="G303" i="1"/>
  <c r="H303" i="1"/>
  <c r="I303" i="1"/>
  <c r="J303" i="1"/>
  <c r="L303" i="1"/>
  <c r="M303" i="1"/>
  <c r="N303" i="1"/>
  <c r="O303" i="1"/>
  <c r="P303" i="1"/>
  <c r="Q303" i="1"/>
  <c r="R303" i="1"/>
  <c r="S303" i="1"/>
  <c r="T303" i="1"/>
  <c r="U303" i="1"/>
  <c r="W303" i="1"/>
  <c r="X303" i="1"/>
  <c r="Y303" i="1"/>
  <c r="D304" i="1"/>
  <c r="E304" i="1"/>
  <c r="F304" i="1"/>
  <c r="G304" i="1"/>
  <c r="H304" i="1"/>
  <c r="I304" i="1"/>
  <c r="J304" i="1"/>
  <c r="L304" i="1"/>
  <c r="M304" i="1"/>
  <c r="N304" i="1"/>
  <c r="O304" i="1"/>
  <c r="P304" i="1"/>
  <c r="Q304" i="1"/>
  <c r="R304" i="1"/>
  <c r="S304" i="1"/>
  <c r="T304" i="1"/>
  <c r="U304" i="1"/>
  <c r="W304" i="1"/>
  <c r="X304" i="1"/>
  <c r="Y304" i="1"/>
  <c r="D305" i="1"/>
  <c r="E305" i="1"/>
  <c r="F305" i="1"/>
  <c r="G305" i="1"/>
  <c r="H305" i="1"/>
  <c r="I305" i="1"/>
  <c r="J305" i="1"/>
  <c r="L305" i="1"/>
  <c r="M305" i="1"/>
  <c r="N305" i="1"/>
  <c r="O305" i="1"/>
  <c r="P305" i="1"/>
  <c r="Q305" i="1"/>
  <c r="R305" i="1"/>
  <c r="S305" i="1"/>
  <c r="T305" i="1"/>
  <c r="U305" i="1"/>
  <c r="W305" i="1"/>
  <c r="X305" i="1"/>
  <c r="Y305" i="1"/>
  <c r="D306" i="1"/>
  <c r="E306" i="1"/>
  <c r="F306" i="1"/>
  <c r="G306" i="1"/>
  <c r="H306" i="1"/>
  <c r="I306" i="1"/>
  <c r="J306" i="1"/>
  <c r="L306" i="1"/>
  <c r="M306" i="1"/>
  <c r="N306" i="1"/>
  <c r="O306" i="1"/>
  <c r="P306" i="1"/>
  <c r="Q306" i="1"/>
  <c r="R306" i="1"/>
  <c r="S306" i="1"/>
  <c r="T306" i="1"/>
  <c r="U306" i="1"/>
  <c r="W306" i="1"/>
  <c r="X306" i="1"/>
  <c r="Y306" i="1"/>
  <c r="D307" i="1"/>
  <c r="E307" i="1"/>
  <c r="F307" i="1"/>
  <c r="G307" i="1"/>
  <c r="H307" i="1"/>
  <c r="I307" i="1"/>
  <c r="J307" i="1"/>
  <c r="L307" i="1"/>
  <c r="M307" i="1"/>
  <c r="N307" i="1"/>
  <c r="O307" i="1"/>
  <c r="P307" i="1"/>
  <c r="Q307" i="1"/>
  <c r="R307" i="1"/>
  <c r="S307" i="1"/>
  <c r="T307" i="1"/>
  <c r="U307" i="1"/>
  <c r="W307" i="1"/>
  <c r="X307" i="1"/>
  <c r="Y307" i="1"/>
  <c r="D308" i="1"/>
  <c r="E308" i="1"/>
  <c r="F308" i="1"/>
  <c r="G308" i="1"/>
  <c r="H308" i="1"/>
  <c r="I308" i="1"/>
  <c r="J308" i="1"/>
  <c r="L308" i="1"/>
  <c r="M308" i="1"/>
  <c r="N308" i="1"/>
  <c r="O308" i="1"/>
  <c r="P308" i="1"/>
  <c r="Q308" i="1"/>
  <c r="R308" i="1"/>
  <c r="S308" i="1"/>
  <c r="T308" i="1"/>
  <c r="U308" i="1"/>
  <c r="W308" i="1"/>
  <c r="X308" i="1"/>
  <c r="Y308" i="1"/>
  <c r="D309" i="1"/>
  <c r="E309" i="1"/>
  <c r="F309" i="1"/>
  <c r="G309" i="1"/>
  <c r="H309" i="1"/>
  <c r="I309" i="1"/>
  <c r="J309" i="1"/>
  <c r="L309" i="1"/>
  <c r="M309" i="1"/>
  <c r="N309" i="1"/>
  <c r="O309" i="1"/>
  <c r="P309" i="1"/>
  <c r="Q309" i="1"/>
  <c r="R309" i="1"/>
  <c r="S309" i="1"/>
  <c r="T309" i="1"/>
  <c r="U309" i="1"/>
  <c r="W309" i="1"/>
  <c r="X309" i="1"/>
  <c r="Y309" i="1"/>
  <c r="D310" i="1"/>
  <c r="E310" i="1"/>
  <c r="F310" i="1"/>
  <c r="G310" i="1"/>
  <c r="H310" i="1"/>
  <c r="I310" i="1"/>
  <c r="J310" i="1"/>
  <c r="L310" i="1"/>
  <c r="M310" i="1"/>
  <c r="N310" i="1"/>
  <c r="O310" i="1"/>
  <c r="P310" i="1"/>
  <c r="Q310" i="1"/>
  <c r="R310" i="1"/>
  <c r="S310" i="1"/>
  <c r="T310" i="1"/>
  <c r="U310" i="1"/>
  <c r="W310" i="1"/>
  <c r="X310" i="1"/>
  <c r="Y310" i="1"/>
  <c r="D311" i="1"/>
  <c r="E311" i="1"/>
  <c r="F311" i="1"/>
  <c r="G311" i="1"/>
  <c r="H311" i="1"/>
  <c r="I311" i="1"/>
  <c r="J311" i="1"/>
  <c r="L311" i="1"/>
  <c r="M311" i="1"/>
  <c r="N311" i="1"/>
  <c r="O311" i="1"/>
  <c r="P311" i="1"/>
  <c r="Q311" i="1"/>
  <c r="R311" i="1"/>
  <c r="S311" i="1"/>
  <c r="T311" i="1"/>
  <c r="U311" i="1"/>
  <c r="W311" i="1"/>
  <c r="X311" i="1"/>
  <c r="Y311" i="1"/>
  <c r="D312" i="1"/>
  <c r="E312" i="1"/>
  <c r="F312" i="1"/>
  <c r="G312" i="1"/>
  <c r="H312" i="1"/>
  <c r="I312" i="1"/>
  <c r="J312" i="1"/>
  <c r="L312" i="1"/>
  <c r="M312" i="1"/>
  <c r="N312" i="1"/>
  <c r="O312" i="1"/>
  <c r="P312" i="1"/>
  <c r="Q312" i="1"/>
  <c r="R312" i="1"/>
  <c r="S312" i="1"/>
  <c r="T312" i="1"/>
  <c r="U312" i="1"/>
  <c r="W312" i="1"/>
  <c r="X312" i="1"/>
  <c r="Y312" i="1"/>
  <c r="D313" i="1"/>
  <c r="E313" i="1"/>
  <c r="F313" i="1"/>
  <c r="G313" i="1"/>
  <c r="H313" i="1"/>
  <c r="I313" i="1"/>
  <c r="J313" i="1"/>
  <c r="L313" i="1"/>
  <c r="M313" i="1"/>
  <c r="N313" i="1"/>
  <c r="O313" i="1"/>
  <c r="P313" i="1"/>
  <c r="Q313" i="1"/>
  <c r="R313" i="1"/>
  <c r="S313" i="1"/>
  <c r="T313" i="1"/>
  <c r="U313" i="1"/>
  <c r="W313" i="1"/>
  <c r="X313" i="1"/>
  <c r="Y313" i="1"/>
  <c r="D314" i="1"/>
  <c r="E314" i="1"/>
  <c r="F314" i="1"/>
  <c r="G314" i="1"/>
  <c r="H314" i="1"/>
  <c r="I314" i="1"/>
  <c r="J314" i="1"/>
  <c r="L314" i="1"/>
  <c r="M314" i="1"/>
  <c r="N314" i="1"/>
  <c r="O314" i="1"/>
  <c r="P314" i="1"/>
  <c r="Q314" i="1"/>
  <c r="R314" i="1"/>
  <c r="S314" i="1"/>
  <c r="T314" i="1"/>
  <c r="U314" i="1"/>
  <c r="W314" i="1"/>
  <c r="X314" i="1"/>
  <c r="Y314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C303" i="1"/>
  <c r="B303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C291" i="1"/>
  <c r="B291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C279" i="1"/>
  <c r="B279" i="1"/>
  <c r="GN97" i="1"/>
  <c r="GM97" i="1"/>
  <c r="GN96" i="1"/>
  <c r="GM96" i="1"/>
  <c r="GN95" i="1"/>
  <c r="GM95" i="1"/>
  <c r="GN94" i="1"/>
  <c r="GM94" i="1"/>
  <c r="AU15" i="1"/>
  <c r="AD51" i="1"/>
  <c r="AV15" i="1"/>
  <c r="AD52" i="1"/>
  <c r="AW15" i="1"/>
  <c r="AD53" i="1"/>
  <c r="AX15" i="1"/>
  <c r="AD54" i="1"/>
  <c r="AY15" i="1"/>
  <c r="AD55" i="1"/>
  <c r="AE55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N15" i="1"/>
  <c r="AD44" i="1"/>
  <c r="AF44" i="1"/>
  <c r="AO14" i="1"/>
  <c r="AO15" i="1"/>
  <c r="AD45" i="1"/>
  <c r="AF45" i="1"/>
  <c r="AP15" i="1"/>
  <c r="AD46" i="1"/>
  <c r="AF46" i="1"/>
  <c r="AQ15" i="1"/>
  <c r="AD47" i="1"/>
  <c r="AF47" i="1"/>
  <c r="AR15" i="1"/>
  <c r="AD48" i="1"/>
  <c r="AF48" i="1"/>
  <c r="AS15" i="1"/>
  <c r="AD49" i="1"/>
  <c r="AF49" i="1"/>
  <c r="AT15" i="1"/>
  <c r="AD50" i="1"/>
  <c r="AF50" i="1"/>
  <c r="AF51" i="1"/>
  <c r="AF52" i="1"/>
  <c r="AF53" i="1"/>
  <c r="AF54" i="1"/>
  <c r="AF55" i="1"/>
  <c r="AZ15" i="1"/>
  <c r="AD56" i="1"/>
  <c r="AE56" i="1"/>
  <c r="AF56" i="1"/>
  <c r="BA15" i="1"/>
  <c r="AD57" i="1"/>
  <c r="AE57" i="1"/>
  <c r="AF57" i="1"/>
  <c r="AE58" i="1"/>
  <c r="AF58" i="1"/>
  <c r="CH15" i="1"/>
  <c r="AC57" i="1"/>
  <c r="CG15" i="1"/>
  <c r="AC56" i="1"/>
  <c r="CF15" i="1"/>
  <c r="AC55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CD15" i="1"/>
  <c r="CD18" i="1"/>
  <c r="CE15" i="1"/>
  <c r="CG24" i="1"/>
  <c r="CG23" i="1"/>
  <c r="CG22" i="1"/>
  <c r="CG20" i="1"/>
  <c r="CG19" i="1"/>
  <c r="CG18" i="1"/>
  <c r="CG17" i="1"/>
  <c r="CF24" i="1"/>
  <c r="CF23" i="1"/>
  <c r="CF22" i="1"/>
  <c r="CF20" i="1"/>
  <c r="CF19" i="1"/>
  <c r="CF18" i="1"/>
  <c r="CF17" i="1"/>
  <c r="CH24" i="1"/>
  <c r="CH23" i="1"/>
  <c r="CH22" i="1"/>
  <c r="CH20" i="1"/>
  <c r="CH19" i="1"/>
  <c r="CH18" i="1"/>
  <c r="CH17" i="1"/>
  <c r="BA25" i="1"/>
  <c r="BA24" i="1"/>
  <c r="BA23" i="1"/>
  <c r="BA21" i="1"/>
  <c r="BA20" i="1"/>
  <c r="BA19" i="1"/>
  <c r="BA18" i="1"/>
  <c r="AZ25" i="1"/>
  <c r="AZ24" i="1"/>
  <c r="AZ23" i="1"/>
  <c r="AZ21" i="1"/>
  <c r="AZ20" i="1"/>
  <c r="AZ19" i="1"/>
  <c r="AZ18" i="1"/>
  <c r="AY25" i="1"/>
  <c r="AY24" i="1"/>
  <c r="AY23" i="1"/>
  <c r="AY21" i="1"/>
  <c r="AY20" i="1"/>
  <c r="AY19" i="1"/>
  <c r="AY18" i="1"/>
  <c r="DL16" i="1"/>
  <c r="DK17" i="1"/>
  <c r="BI3" i="1"/>
  <c r="CN3" i="1"/>
  <c r="BI4" i="1"/>
  <c r="CN4" i="1"/>
  <c r="BI5" i="1"/>
  <c r="CN5" i="1"/>
  <c r="BI6" i="1"/>
  <c r="CN6" i="1"/>
  <c r="BI7" i="1"/>
  <c r="CN7" i="1"/>
  <c r="BI8" i="1"/>
  <c r="CN8" i="1"/>
  <c r="BI9" i="1"/>
  <c r="CN9" i="1"/>
  <c r="BI10" i="1"/>
  <c r="CN10" i="1"/>
  <c r="BI11" i="1"/>
  <c r="CN11" i="1"/>
  <c r="BI12" i="1"/>
  <c r="CN12" i="1"/>
  <c r="BI13" i="1"/>
  <c r="CN13" i="1"/>
  <c r="CN14" i="1"/>
  <c r="CN16" i="1"/>
  <c r="CN15" i="1"/>
  <c r="DK3" i="1"/>
  <c r="DK4" i="1"/>
  <c r="DK5" i="1"/>
  <c r="DK6" i="1"/>
  <c r="DK7" i="1"/>
  <c r="DK8" i="1"/>
  <c r="DK9" i="1"/>
  <c r="DK10" i="1"/>
  <c r="DK11" i="1"/>
  <c r="DK12" i="1"/>
  <c r="DK13" i="1"/>
  <c r="DK14" i="1"/>
  <c r="DJ17" i="1"/>
  <c r="DJ3" i="1"/>
  <c r="DJ4" i="1"/>
  <c r="DJ5" i="1"/>
  <c r="DJ6" i="1"/>
  <c r="DJ7" i="1"/>
  <c r="DJ8" i="1"/>
  <c r="DJ9" i="1"/>
  <c r="DJ10" i="1"/>
  <c r="DJ11" i="1"/>
  <c r="DJ12" i="1"/>
  <c r="DJ13" i="1"/>
  <c r="DJ14" i="1"/>
  <c r="DI17" i="1"/>
  <c r="DK16" i="1"/>
  <c r="DJ16" i="1"/>
  <c r="DK15" i="1"/>
  <c r="DJ15" i="1"/>
  <c r="DI3" i="1"/>
  <c r="DI4" i="1"/>
  <c r="DI5" i="1"/>
  <c r="DI6" i="1"/>
  <c r="DI7" i="1"/>
  <c r="DI8" i="1"/>
  <c r="DI9" i="1"/>
  <c r="DI10" i="1"/>
  <c r="DI11" i="1"/>
  <c r="DI12" i="1"/>
  <c r="DI13" i="1"/>
  <c r="DI14" i="1"/>
  <c r="DI15" i="1"/>
  <c r="GZ97" i="1"/>
  <c r="B267" i="1"/>
  <c r="B268" i="1"/>
  <c r="B269" i="1"/>
  <c r="GM90" i="1"/>
  <c r="B270" i="1"/>
  <c r="B271" i="1"/>
  <c r="B272" i="1"/>
  <c r="GM91" i="1"/>
  <c r="B273" i="1"/>
  <c r="B274" i="1"/>
  <c r="B275" i="1"/>
  <c r="GM92" i="1"/>
  <c r="B276" i="1"/>
  <c r="B277" i="1"/>
  <c r="B278" i="1"/>
  <c r="GM93" i="1"/>
  <c r="GZ93" i="1"/>
  <c r="HC97" i="1"/>
  <c r="GV97" i="1"/>
  <c r="C267" i="1"/>
  <c r="C268" i="1"/>
  <c r="C269" i="1"/>
  <c r="GN90" i="1"/>
  <c r="C270" i="1"/>
  <c r="C271" i="1"/>
  <c r="C272" i="1"/>
  <c r="GN91" i="1"/>
  <c r="C273" i="1"/>
  <c r="C274" i="1"/>
  <c r="C275" i="1"/>
  <c r="GN92" i="1"/>
  <c r="C276" i="1"/>
  <c r="C277" i="1"/>
  <c r="C278" i="1"/>
  <c r="GN93" i="1"/>
  <c r="GV93" i="1"/>
  <c r="GW97" i="1"/>
  <c r="GX97" i="1"/>
  <c r="HB97" i="1"/>
  <c r="HA97" i="1"/>
  <c r="GY97" i="1"/>
  <c r="GT93" i="1"/>
  <c r="GU97" i="1"/>
  <c r="GT97" i="1"/>
  <c r="GR93" i="1"/>
  <c r="GS97" i="1"/>
  <c r="GR97" i="1"/>
  <c r="GZ96" i="1"/>
  <c r="B264" i="1"/>
  <c r="B265" i="1"/>
  <c r="B266" i="1"/>
  <c r="GM89" i="1"/>
  <c r="GZ92" i="1"/>
  <c r="HC96" i="1"/>
  <c r="GV96" i="1"/>
  <c r="C264" i="1"/>
  <c r="C265" i="1"/>
  <c r="C266" i="1"/>
  <c r="GN89" i="1"/>
  <c r="GV92" i="1"/>
  <c r="GW96" i="1"/>
  <c r="GX96" i="1"/>
  <c r="HB96" i="1"/>
  <c r="HA96" i="1"/>
  <c r="GY96" i="1"/>
  <c r="GT92" i="1"/>
  <c r="GU96" i="1"/>
  <c r="GT96" i="1"/>
  <c r="GR92" i="1"/>
  <c r="GS96" i="1"/>
  <c r="GR96" i="1"/>
  <c r="GZ95" i="1"/>
  <c r="B261" i="1"/>
  <c r="B262" i="1"/>
  <c r="B263" i="1"/>
  <c r="GM88" i="1"/>
  <c r="GZ91" i="1"/>
  <c r="HC95" i="1"/>
  <c r="GV95" i="1"/>
  <c r="C261" i="1"/>
  <c r="C262" i="1"/>
  <c r="C263" i="1"/>
  <c r="GN88" i="1"/>
  <c r="GV91" i="1"/>
  <c r="GW95" i="1"/>
  <c r="GX95" i="1"/>
  <c r="HB95" i="1"/>
  <c r="HA95" i="1"/>
  <c r="GY95" i="1"/>
  <c r="GT91" i="1"/>
  <c r="GU95" i="1"/>
  <c r="GT95" i="1"/>
  <c r="GR91" i="1"/>
  <c r="GS95" i="1"/>
  <c r="GR95" i="1"/>
  <c r="GZ94" i="1"/>
  <c r="B258" i="1"/>
  <c r="B259" i="1"/>
  <c r="B260" i="1"/>
  <c r="GM87" i="1"/>
  <c r="GZ90" i="1"/>
  <c r="HC94" i="1"/>
  <c r="GV94" i="1"/>
  <c r="C258" i="1"/>
  <c r="C259" i="1"/>
  <c r="C260" i="1"/>
  <c r="GN87" i="1"/>
  <c r="GV90" i="1"/>
  <c r="GW94" i="1"/>
  <c r="GX94" i="1"/>
  <c r="HB94" i="1"/>
  <c r="HA94" i="1"/>
  <c r="GY94" i="1"/>
  <c r="GT90" i="1"/>
  <c r="GU94" i="1"/>
  <c r="GT94" i="1"/>
  <c r="GR90" i="1"/>
  <c r="GS94" i="1"/>
  <c r="GR94" i="1"/>
  <c r="C132" i="1"/>
  <c r="C133" i="1"/>
  <c r="C134" i="1"/>
  <c r="GN45" i="1"/>
  <c r="C135" i="1"/>
  <c r="C136" i="1"/>
  <c r="C137" i="1"/>
  <c r="GN46" i="1"/>
  <c r="C138" i="1"/>
  <c r="C139" i="1"/>
  <c r="C140" i="1"/>
  <c r="GN47" i="1"/>
  <c r="C141" i="1"/>
  <c r="C142" i="1"/>
  <c r="C143" i="1"/>
  <c r="GN48" i="1"/>
  <c r="C144" i="1"/>
  <c r="C145" i="1"/>
  <c r="C146" i="1"/>
  <c r="GN49" i="1"/>
  <c r="C147" i="1"/>
  <c r="C148" i="1"/>
  <c r="C149" i="1"/>
  <c r="GN50" i="1"/>
  <c r="C150" i="1"/>
  <c r="C151" i="1"/>
  <c r="C152" i="1"/>
  <c r="GN51" i="1"/>
  <c r="C153" i="1"/>
  <c r="C154" i="1"/>
  <c r="C155" i="1"/>
  <c r="GN52" i="1"/>
  <c r="C156" i="1"/>
  <c r="C157" i="1"/>
  <c r="C158" i="1"/>
  <c r="GN53" i="1"/>
  <c r="C159" i="1"/>
  <c r="C160" i="1"/>
  <c r="C161" i="1"/>
  <c r="GN54" i="1"/>
  <c r="GN118" i="1"/>
  <c r="C129" i="1"/>
  <c r="C130" i="1"/>
  <c r="C131" i="1"/>
  <c r="GN44" i="1"/>
  <c r="GO45" i="1"/>
  <c r="GO46" i="1"/>
  <c r="GO47" i="1"/>
  <c r="GO48" i="1"/>
  <c r="GO49" i="1"/>
  <c r="GO50" i="1"/>
  <c r="GO51" i="1"/>
  <c r="GO52" i="1"/>
  <c r="GO53" i="1"/>
  <c r="GO54" i="1"/>
  <c r="GO118" i="1"/>
  <c r="GQ97" i="1"/>
  <c r="GP97" i="1"/>
  <c r="GO97" i="1"/>
  <c r="GL97" i="1"/>
  <c r="GQ96" i="1"/>
  <c r="GP96" i="1"/>
  <c r="GO96" i="1"/>
  <c r="GL96" i="1"/>
  <c r="GQ95" i="1"/>
  <c r="GP95" i="1"/>
  <c r="GO95" i="1"/>
  <c r="GL95" i="1"/>
  <c r="GQ94" i="1"/>
  <c r="GP94" i="1"/>
  <c r="GO94" i="1"/>
  <c r="GL94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B255" i="1"/>
  <c r="C255" i="1"/>
  <c r="B256" i="1"/>
  <c r="C256" i="1"/>
  <c r="B257" i="1"/>
  <c r="C257" i="1"/>
  <c r="F280" i="1"/>
  <c r="G280" i="1"/>
  <c r="O280" i="1"/>
  <c r="F281" i="1"/>
  <c r="G281" i="1"/>
  <c r="O281" i="1"/>
  <c r="F282" i="1"/>
  <c r="G282" i="1"/>
  <c r="O282" i="1"/>
  <c r="F283" i="1"/>
  <c r="G283" i="1"/>
  <c r="O283" i="1"/>
  <c r="F284" i="1"/>
  <c r="G284" i="1"/>
  <c r="O284" i="1"/>
  <c r="F285" i="1"/>
  <c r="G285" i="1"/>
  <c r="O285" i="1"/>
  <c r="F286" i="1"/>
  <c r="G286" i="1"/>
  <c r="O286" i="1"/>
  <c r="F287" i="1"/>
  <c r="G287" i="1"/>
  <c r="O287" i="1"/>
  <c r="F288" i="1"/>
  <c r="G288" i="1"/>
  <c r="O288" i="1"/>
  <c r="F289" i="1"/>
  <c r="G289" i="1"/>
  <c r="O289" i="1"/>
  <c r="F290" i="1"/>
  <c r="G290" i="1"/>
  <c r="O290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C162" i="1"/>
  <c r="J356" i="1"/>
  <c r="C163" i="1"/>
  <c r="J357" i="1"/>
  <c r="C164" i="1"/>
  <c r="J358" i="1"/>
  <c r="C165" i="1"/>
  <c r="J359" i="1"/>
  <c r="C166" i="1"/>
  <c r="J360" i="1"/>
  <c r="C167" i="1"/>
  <c r="J361" i="1"/>
  <c r="C168" i="1"/>
  <c r="J362" i="1"/>
  <c r="C169" i="1"/>
  <c r="J363" i="1"/>
  <c r="C170" i="1"/>
  <c r="J364" i="1"/>
  <c r="C171" i="1"/>
  <c r="J365" i="1"/>
  <c r="C172" i="1"/>
  <c r="J366" i="1"/>
  <c r="C173" i="1"/>
  <c r="J367" i="1"/>
  <c r="C174" i="1"/>
  <c r="J368" i="1"/>
  <c r="C175" i="1"/>
  <c r="J369" i="1"/>
  <c r="C176" i="1"/>
  <c r="J370" i="1"/>
  <c r="C177" i="1"/>
  <c r="J371" i="1"/>
  <c r="C178" i="1"/>
  <c r="J372" i="1"/>
  <c r="C179" i="1"/>
  <c r="J373" i="1"/>
  <c r="C180" i="1"/>
  <c r="J374" i="1"/>
  <c r="C181" i="1"/>
  <c r="J375" i="1"/>
  <c r="C182" i="1"/>
  <c r="J376" i="1"/>
  <c r="C183" i="1"/>
  <c r="J377" i="1"/>
  <c r="C184" i="1"/>
  <c r="J378" i="1"/>
  <c r="C185" i="1"/>
  <c r="J379" i="1"/>
  <c r="C186" i="1"/>
  <c r="J380" i="1"/>
  <c r="C187" i="1"/>
  <c r="J381" i="1"/>
  <c r="C188" i="1"/>
  <c r="J382" i="1"/>
  <c r="C189" i="1"/>
  <c r="J383" i="1"/>
  <c r="C190" i="1"/>
  <c r="J384" i="1"/>
  <c r="C191" i="1"/>
  <c r="J385" i="1"/>
  <c r="C192" i="1"/>
  <c r="J386" i="1"/>
  <c r="C193" i="1"/>
  <c r="J387" i="1"/>
  <c r="C194" i="1"/>
  <c r="J388" i="1"/>
  <c r="C195" i="1"/>
  <c r="J389" i="1"/>
  <c r="C196" i="1"/>
  <c r="J390" i="1"/>
  <c r="C197" i="1"/>
  <c r="J391" i="1"/>
  <c r="C198" i="1"/>
  <c r="J392" i="1"/>
  <c r="C199" i="1"/>
  <c r="J393" i="1"/>
  <c r="C200" i="1"/>
  <c r="J394" i="1"/>
  <c r="C201" i="1"/>
  <c r="J395" i="1"/>
  <c r="C202" i="1"/>
  <c r="J396" i="1"/>
  <c r="C203" i="1"/>
  <c r="J397" i="1"/>
  <c r="C204" i="1"/>
  <c r="J398" i="1"/>
  <c r="C205" i="1"/>
  <c r="J399" i="1"/>
  <c r="C206" i="1"/>
  <c r="J400" i="1"/>
  <c r="C207" i="1"/>
  <c r="J401" i="1"/>
  <c r="C208" i="1"/>
  <c r="J402" i="1"/>
  <c r="C209" i="1"/>
  <c r="J403" i="1"/>
  <c r="C210" i="1"/>
  <c r="J404" i="1"/>
  <c r="C211" i="1"/>
  <c r="J405" i="1"/>
  <c r="C212" i="1"/>
  <c r="J406" i="1"/>
  <c r="C213" i="1"/>
  <c r="J407" i="1"/>
  <c r="C214" i="1"/>
  <c r="J408" i="1"/>
  <c r="C215" i="1"/>
  <c r="J409" i="1"/>
  <c r="C216" i="1"/>
  <c r="J410" i="1"/>
  <c r="C217" i="1"/>
  <c r="J411" i="1"/>
  <c r="C218" i="1"/>
  <c r="J412" i="1"/>
  <c r="C219" i="1"/>
  <c r="J413" i="1"/>
  <c r="C220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A491" i="1"/>
  <c r="L132" i="1"/>
  <c r="K326" i="1"/>
  <c r="L133" i="1"/>
  <c r="K327" i="1"/>
  <c r="L134" i="1"/>
  <c r="K328" i="1"/>
  <c r="L135" i="1"/>
  <c r="K329" i="1"/>
  <c r="L136" i="1"/>
  <c r="K330" i="1"/>
  <c r="L137" i="1"/>
  <c r="K331" i="1"/>
  <c r="L138" i="1"/>
  <c r="K332" i="1"/>
  <c r="L139" i="1"/>
  <c r="K333" i="1"/>
  <c r="L140" i="1"/>
  <c r="K334" i="1"/>
  <c r="L141" i="1"/>
  <c r="K335" i="1"/>
  <c r="L142" i="1"/>
  <c r="K336" i="1"/>
  <c r="L143" i="1"/>
  <c r="K337" i="1"/>
  <c r="L144" i="1"/>
  <c r="K338" i="1"/>
  <c r="L145" i="1"/>
  <c r="K339" i="1"/>
  <c r="L146" i="1"/>
  <c r="K340" i="1"/>
  <c r="L147" i="1"/>
  <c r="K341" i="1"/>
  <c r="L148" i="1"/>
  <c r="K342" i="1"/>
  <c r="L149" i="1"/>
  <c r="K343" i="1"/>
  <c r="L150" i="1"/>
  <c r="K344" i="1"/>
  <c r="L151" i="1"/>
  <c r="K345" i="1"/>
  <c r="L152" i="1"/>
  <c r="K346" i="1"/>
  <c r="L153" i="1"/>
  <c r="K347" i="1"/>
  <c r="L154" i="1"/>
  <c r="K348" i="1"/>
  <c r="L155" i="1"/>
  <c r="K349" i="1"/>
  <c r="L156" i="1"/>
  <c r="K350" i="1"/>
  <c r="L157" i="1"/>
  <c r="K351" i="1"/>
  <c r="L158" i="1"/>
  <c r="K352" i="1"/>
  <c r="L159" i="1"/>
  <c r="K353" i="1"/>
  <c r="L160" i="1"/>
  <c r="K354" i="1"/>
  <c r="L161" i="1"/>
  <c r="K355" i="1"/>
  <c r="L162" i="1"/>
  <c r="K356" i="1"/>
  <c r="L163" i="1"/>
  <c r="K357" i="1"/>
  <c r="L164" i="1"/>
  <c r="K358" i="1"/>
  <c r="L165" i="1"/>
  <c r="K359" i="1"/>
  <c r="L166" i="1"/>
  <c r="K360" i="1"/>
  <c r="L167" i="1"/>
  <c r="K361" i="1"/>
  <c r="L168" i="1"/>
  <c r="K362" i="1"/>
  <c r="L169" i="1"/>
  <c r="K363" i="1"/>
  <c r="L170" i="1"/>
  <c r="K364" i="1"/>
  <c r="L171" i="1"/>
  <c r="K365" i="1"/>
  <c r="L172" i="1"/>
  <c r="K366" i="1"/>
  <c r="L173" i="1"/>
  <c r="K367" i="1"/>
  <c r="L174" i="1"/>
  <c r="K368" i="1"/>
  <c r="L175" i="1"/>
  <c r="K369" i="1"/>
  <c r="L176" i="1"/>
  <c r="K370" i="1"/>
  <c r="L177" i="1"/>
  <c r="K371" i="1"/>
  <c r="L178" i="1"/>
  <c r="K372" i="1"/>
  <c r="L179" i="1"/>
  <c r="K373" i="1"/>
  <c r="L180" i="1"/>
  <c r="K374" i="1"/>
  <c r="L181" i="1"/>
  <c r="K375" i="1"/>
  <c r="L182" i="1"/>
  <c r="K376" i="1"/>
  <c r="L183" i="1"/>
  <c r="K377" i="1"/>
  <c r="L184" i="1"/>
  <c r="K378" i="1"/>
  <c r="L185" i="1"/>
  <c r="K379" i="1"/>
  <c r="L186" i="1"/>
  <c r="K380" i="1"/>
  <c r="L187" i="1"/>
  <c r="K381" i="1"/>
  <c r="L188" i="1"/>
  <c r="K382" i="1"/>
  <c r="L189" i="1"/>
  <c r="K383" i="1"/>
  <c r="L190" i="1"/>
  <c r="K384" i="1"/>
  <c r="L191" i="1"/>
  <c r="K385" i="1"/>
  <c r="L192" i="1"/>
  <c r="K386" i="1"/>
  <c r="L193" i="1"/>
  <c r="K387" i="1"/>
  <c r="L194" i="1"/>
  <c r="K388" i="1"/>
  <c r="L195" i="1"/>
  <c r="K389" i="1"/>
  <c r="L196" i="1"/>
  <c r="K390" i="1"/>
  <c r="L197" i="1"/>
  <c r="K391" i="1"/>
  <c r="L198" i="1"/>
  <c r="K392" i="1"/>
  <c r="L199" i="1"/>
  <c r="K393" i="1"/>
  <c r="L200" i="1"/>
  <c r="K394" i="1"/>
  <c r="L201" i="1"/>
  <c r="K395" i="1"/>
  <c r="L202" i="1"/>
  <c r="K396" i="1"/>
  <c r="L203" i="1"/>
  <c r="K397" i="1"/>
  <c r="L204" i="1"/>
  <c r="K398" i="1"/>
  <c r="L205" i="1"/>
  <c r="K399" i="1"/>
  <c r="L206" i="1"/>
  <c r="K400" i="1"/>
  <c r="L207" i="1"/>
  <c r="K401" i="1"/>
  <c r="L208" i="1"/>
  <c r="K402" i="1"/>
  <c r="L209" i="1"/>
  <c r="K403" i="1"/>
  <c r="L210" i="1"/>
  <c r="K404" i="1"/>
  <c r="L211" i="1"/>
  <c r="K405" i="1"/>
  <c r="L212" i="1"/>
  <c r="K406" i="1"/>
  <c r="L213" i="1"/>
  <c r="K407" i="1"/>
  <c r="L214" i="1"/>
  <c r="K408" i="1"/>
  <c r="L215" i="1"/>
  <c r="K409" i="1"/>
  <c r="L216" i="1"/>
  <c r="K410" i="1"/>
  <c r="L217" i="1"/>
  <c r="K411" i="1"/>
  <c r="L218" i="1"/>
  <c r="K412" i="1"/>
  <c r="L219" i="1"/>
  <c r="K413" i="1"/>
  <c r="L220" i="1"/>
  <c r="K414" i="1"/>
  <c r="L221" i="1"/>
  <c r="K415" i="1"/>
  <c r="L222" i="1"/>
  <c r="K416" i="1"/>
  <c r="L223" i="1"/>
  <c r="K417" i="1"/>
  <c r="L224" i="1"/>
  <c r="K418" i="1"/>
  <c r="L225" i="1"/>
  <c r="K419" i="1"/>
  <c r="L226" i="1"/>
  <c r="K420" i="1"/>
  <c r="L227" i="1"/>
  <c r="K421" i="1"/>
  <c r="L228" i="1"/>
  <c r="K422" i="1"/>
  <c r="L229" i="1"/>
  <c r="K423" i="1"/>
  <c r="L230" i="1"/>
  <c r="K424" i="1"/>
  <c r="L231" i="1"/>
  <c r="K425" i="1"/>
  <c r="L232" i="1"/>
  <c r="K426" i="1"/>
  <c r="L233" i="1"/>
  <c r="K427" i="1"/>
  <c r="L234" i="1"/>
  <c r="K428" i="1"/>
  <c r="L235" i="1"/>
  <c r="K429" i="1"/>
  <c r="L236" i="1"/>
  <c r="K430" i="1"/>
  <c r="L237" i="1"/>
  <c r="K431" i="1"/>
  <c r="L238" i="1"/>
  <c r="K432" i="1"/>
  <c r="L239" i="1"/>
  <c r="K433" i="1"/>
  <c r="L240" i="1"/>
  <c r="K434" i="1"/>
  <c r="L241" i="1"/>
  <c r="K435" i="1"/>
  <c r="L242" i="1"/>
  <c r="K436" i="1"/>
  <c r="L243" i="1"/>
  <c r="K437" i="1"/>
  <c r="L244" i="1"/>
  <c r="K438" i="1"/>
  <c r="L245" i="1"/>
  <c r="K439" i="1"/>
  <c r="L246" i="1"/>
  <c r="K440" i="1"/>
  <c r="L247" i="1"/>
  <c r="K441" i="1"/>
  <c r="L248" i="1"/>
  <c r="K442" i="1"/>
  <c r="L249" i="1"/>
  <c r="K443" i="1"/>
  <c r="L250" i="1"/>
  <c r="K444" i="1"/>
  <c r="L251" i="1"/>
  <c r="K445" i="1"/>
  <c r="L252" i="1"/>
  <c r="K446" i="1"/>
  <c r="L253" i="1"/>
  <c r="K447" i="1"/>
  <c r="L254" i="1"/>
  <c r="K448" i="1"/>
  <c r="L255" i="1"/>
  <c r="K449" i="1"/>
  <c r="L256" i="1"/>
  <c r="K450" i="1"/>
  <c r="L257" i="1"/>
  <c r="K451" i="1"/>
  <c r="L258" i="1"/>
  <c r="K452" i="1"/>
  <c r="L259" i="1"/>
  <c r="K453" i="1"/>
  <c r="L260" i="1"/>
  <c r="K454" i="1"/>
  <c r="B491" i="1"/>
  <c r="P474" i="1"/>
  <c r="P280" i="1"/>
  <c r="P475" i="1"/>
  <c r="P281" i="1"/>
  <c r="P476" i="1"/>
  <c r="P282" i="1"/>
  <c r="P477" i="1"/>
  <c r="P283" i="1"/>
  <c r="P478" i="1"/>
  <c r="P284" i="1"/>
  <c r="P479" i="1"/>
  <c r="P285" i="1"/>
  <c r="P480" i="1"/>
  <c r="P286" i="1"/>
  <c r="P481" i="1"/>
  <c r="P287" i="1"/>
  <c r="P482" i="1"/>
  <c r="P288" i="1"/>
  <c r="P483" i="1"/>
  <c r="P289" i="1"/>
  <c r="P484" i="1"/>
  <c r="P290" i="1"/>
  <c r="N288" i="1"/>
  <c r="N285" i="1"/>
  <c r="N282" i="1"/>
  <c r="B43" i="2"/>
  <c r="C43" i="2"/>
  <c r="D43" i="2"/>
  <c r="E43" i="2"/>
  <c r="F43" i="2"/>
  <c r="H43" i="2"/>
  <c r="I43" i="2"/>
  <c r="Q478" i="1"/>
  <c r="Q284" i="1"/>
  <c r="Q479" i="1"/>
  <c r="Q285" i="1"/>
  <c r="Q480" i="1"/>
  <c r="Q286" i="1"/>
  <c r="Q481" i="1"/>
  <c r="Q287" i="1"/>
  <c r="Q482" i="1"/>
  <c r="Q288" i="1"/>
  <c r="Q483" i="1"/>
  <c r="Q289" i="1"/>
  <c r="Q484" i="1"/>
  <c r="Q290" i="1"/>
  <c r="J475" i="1"/>
  <c r="L281" i="1"/>
  <c r="K475" i="1"/>
  <c r="C491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Q475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S475" i="1"/>
  <c r="R3" i="1"/>
  <c r="R4" i="1"/>
  <c r="R5" i="1"/>
  <c r="R6" i="1"/>
  <c r="R7" i="1"/>
  <c r="R8" i="1"/>
  <c r="R9" i="1"/>
  <c r="R10" i="1"/>
  <c r="R11" i="1"/>
  <c r="R12" i="1"/>
  <c r="R13" i="1"/>
  <c r="R14" i="1"/>
  <c r="BJ3" i="1"/>
  <c r="R15" i="1"/>
  <c r="BJ4" i="1"/>
  <c r="R16" i="1"/>
  <c r="BJ5" i="1"/>
  <c r="R17" i="1"/>
  <c r="BJ6" i="1"/>
  <c r="R18" i="1"/>
  <c r="BJ7" i="1"/>
  <c r="R19" i="1"/>
  <c r="BJ8" i="1"/>
  <c r="R20" i="1"/>
  <c r="BJ9" i="1"/>
  <c r="R21" i="1"/>
  <c r="BJ10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BN3" i="1"/>
  <c r="R63" i="1"/>
  <c r="BN4" i="1"/>
  <c r="R64" i="1"/>
  <c r="BN5" i="1"/>
  <c r="R65" i="1"/>
  <c r="BN6" i="1"/>
  <c r="R66" i="1"/>
  <c r="BN7" i="1"/>
  <c r="R67" i="1"/>
  <c r="BN8" i="1"/>
  <c r="R68" i="1"/>
  <c r="BN9" i="1"/>
  <c r="R69" i="1"/>
  <c r="BN10" i="1"/>
  <c r="R70" i="1"/>
  <c r="BN11" i="1"/>
  <c r="R71" i="1"/>
  <c r="BN12" i="1"/>
  <c r="R72" i="1"/>
  <c r="BN13" i="1"/>
  <c r="R73" i="1"/>
  <c r="BN14" i="1"/>
  <c r="R74" i="1"/>
  <c r="R75" i="1"/>
  <c r="R76" i="1"/>
  <c r="R77" i="1"/>
  <c r="R78" i="1"/>
  <c r="BO7" i="1"/>
  <c r="R79" i="1"/>
  <c r="BO8" i="1"/>
  <c r="R80" i="1"/>
  <c r="BO9" i="1"/>
  <c r="R81" i="1"/>
  <c r="BO10" i="1"/>
  <c r="R82" i="1"/>
  <c r="BO11" i="1"/>
  <c r="R83" i="1"/>
  <c r="BO12" i="1"/>
  <c r="R84" i="1"/>
  <c r="BO13" i="1"/>
  <c r="R85" i="1"/>
  <c r="R86" i="1"/>
  <c r="BM56" i="1"/>
  <c r="BP3" i="1"/>
  <c r="R87" i="1"/>
  <c r="BM57" i="1"/>
  <c r="BP4" i="1"/>
  <c r="R88" i="1"/>
  <c r="BM58" i="1"/>
  <c r="BP5" i="1"/>
  <c r="R89" i="1"/>
  <c r="BM59" i="1"/>
  <c r="BP6" i="1"/>
  <c r="R90" i="1"/>
  <c r="BM60" i="1"/>
  <c r="BP7" i="1"/>
  <c r="R91" i="1"/>
  <c r="BM61" i="1"/>
  <c r="BP8" i="1"/>
  <c r="R92" i="1"/>
  <c r="BM62" i="1"/>
  <c r="BP9" i="1"/>
  <c r="R93" i="1"/>
  <c r="BJ63" i="1"/>
  <c r="BP10" i="1"/>
  <c r="R94" i="1"/>
  <c r="BJ64" i="1"/>
  <c r="BP11" i="1"/>
  <c r="R95" i="1"/>
  <c r="BJ65" i="1"/>
  <c r="BP12" i="1"/>
  <c r="R96" i="1"/>
  <c r="BJ66" i="1"/>
  <c r="BP13" i="1"/>
  <c r="R97" i="1"/>
  <c r="BJ67" i="1"/>
  <c r="BP14" i="1"/>
  <c r="R98" i="1"/>
  <c r="BN56" i="1"/>
  <c r="BQ3" i="1"/>
  <c r="R99" i="1"/>
  <c r="BQ4" i="1"/>
  <c r="R100" i="1"/>
  <c r="BN57" i="1"/>
  <c r="BQ5" i="1"/>
  <c r="R101" i="1"/>
  <c r="BN58" i="1"/>
  <c r="BQ6" i="1"/>
  <c r="R102" i="1"/>
  <c r="BN59" i="1"/>
  <c r="BQ7" i="1"/>
  <c r="R103" i="1"/>
  <c r="BN60" i="1"/>
  <c r="BQ8" i="1"/>
  <c r="R104" i="1"/>
  <c r="BN61" i="1"/>
  <c r="BQ9" i="1"/>
  <c r="R105" i="1"/>
  <c r="BN62" i="1"/>
  <c r="BQ10" i="1"/>
  <c r="R106" i="1"/>
  <c r="BK63" i="1"/>
  <c r="BQ11" i="1"/>
  <c r="R107" i="1"/>
  <c r="BK64" i="1"/>
  <c r="BQ12" i="1"/>
  <c r="R108" i="1"/>
  <c r="BK65" i="1"/>
  <c r="BQ13" i="1"/>
  <c r="R109" i="1"/>
  <c r="BK66" i="1"/>
  <c r="BQ14" i="1"/>
  <c r="R110" i="1"/>
  <c r="BO56" i="1"/>
  <c r="BR3" i="1"/>
  <c r="R111" i="1"/>
  <c r="BO57" i="1"/>
  <c r="BR4" i="1"/>
  <c r="R112" i="1"/>
  <c r="BO58" i="1"/>
  <c r="BR5" i="1"/>
  <c r="R113" i="1"/>
  <c r="BO59" i="1"/>
  <c r="BR6" i="1"/>
  <c r="R114" i="1"/>
  <c r="BO60" i="1"/>
  <c r="BR7" i="1"/>
  <c r="R115" i="1"/>
  <c r="BO61" i="1"/>
  <c r="BR8" i="1"/>
  <c r="R116" i="1"/>
  <c r="BO62" i="1"/>
  <c r="BR9" i="1"/>
  <c r="R117" i="1"/>
  <c r="BO63" i="1"/>
  <c r="BR10" i="1"/>
  <c r="R118" i="1"/>
  <c r="BO64" i="1"/>
  <c r="BR11" i="1"/>
  <c r="R119" i="1"/>
  <c r="BO65" i="1"/>
  <c r="BR12" i="1"/>
  <c r="R120" i="1"/>
  <c r="BO66" i="1"/>
  <c r="BR13" i="1"/>
  <c r="R121" i="1"/>
  <c r="BO67" i="1"/>
  <c r="BR14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317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317" i="1"/>
  <c r="T475" i="1"/>
  <c r="U475" i="1"/>
  <c r="J476" i="1"/>
  <c r="L282" i="1"/>
  <c r="K476" i="1"/>
  <c r="L476" i="1"/>
  <c r="Q476" i="1"/>
  <c r="R476" i="1"/>
  <c r="S476" i="1"/>
  <c r="T476" i="1"/>
  <c r="U476" i="1"/>
  <c r="J477" i="1"/>
  <c r="L283" i="1"/>
  <c r="K477" i="1"/>
  <c r="L477" i="1"/>
  <c r="Q477" i="1"/>
  <c r="R477" i="1"/>
  <c r="S477" i="1"/>
  <c r="T477" i="1"/>
  <c r="U477" i="1"/>
  <c r="J478" i="1"/>
  <c r="L284" i="1"/>
  <c r="K478" i="1"/>
  <c r="L478" i="1"/>
  <c r="R478" i="1"/>
  <c r="S478" i="1"/>
  <c r="T478" i="1"/>
  <c r="U478" i="1"/>
  <c r="J479" i="1"/>
  <c r="L285" i="1"/>
  <c r="K479" i="1"/>
  <c r="L479" i="1"/>
  <c r="R479" i="1"/>
  <c r="S479" i="1"/>
  <c r="T479" i="1"/>
  <c r="U479" i="1"/>
  <c r="J480" i="1"/>
  <c r="L286" i="1"/>
  <c r="K480" i="1"/>
  <c r="L480" i="1"/>
  <c r="R480" i="1"/>
  <c r="S480" i="1"/>
  <c r="T480" i="1"/>
  <c r="U480" i="1"/>
  <c r="J481" i="1"/>
  <c r="L287" i="1"/>
  <c r="K481" i="1"/>
  <c r="L481" i="1"/>
  <c r="R481" i="1"/>
  <c r="S481" i="1"/>
  <c r="T481" i="1"/>
  <c r="U481" i="1"/>
  <c r="J482" i="1"/>
  <c r="L288" i="1"/>
  <c r="K482" i="1"/>
  <c r="L482" i="1"/>
  <c r="R482" i="1"/>
  <c r="S482" i="1"/>
  <c r="T482" i="1"/>
  <c r="U482" i="1"/>
  <c r="J483" i="1"/>
  <c r="L289" i="1"/>
  <c r="K483" i="1"/>
  <c r="L483" i="1"/>
  <c r="R483" i="1"/>
  <c r="S483" i="1"/>
  <c r="T483" i="1"/>
  <c r="U483" i="1"/>
  <c r="J484" i="1"/>
  <c r="L290" i="1"/>
  <c r="K484" i="1"/>
  <c r="L484" i="1"/>
  <c r="R484" i="1"/>
  <c r="S484" i="1"/>
  <c r="T484" i="1"/>
  <c r="U48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D473" i="1"/>
  <c r="J474" i="1"/>
  <c r="D474" i="1"/>
  <c r="D475" i="1"/>
  <c r="D476" i="1"/>
  <c r="D477" i="1"/>
  <c r="D478" i="1"/>
  <c r="D479" i="1"/>
  <c r="D480" i="1"/>
  <c r="D281" i="1"/>
  <c r="E281" i="1"/>
  <c r="H281" i="1"/>
  <c r="H269" i="1"/>
  <c r="I281" i="1"/>
  <c r="J281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M281" i="1"/>
  <c r="N281" i="1"/>
  <c r="Q281" i="1"/>
  <c r="R281" i="1"/>
  <c r="R280" i="1"/>
  <c r="S281" i="1"/>
  <c r="T281" i="1"/>
  <c r="U281" i="1"/>
  <c r="W281" i="1"/>
  <c r="W269" i="1"/>
  <c r="X281" i="1"/>
  <c r="Y281" i="1"/>
  <c r="D282" i="1"/>
  <c r="E282" i="1"/>
  <c r="H282" i="1"/>
  <c r="H270" i="1"/>
  <c r="I282" i="1"/>
  <c r="J282" i="1"/>
  <c r="M282" i="1"/>
  <c r="Q282" i="1"/>
  <c r="R282" i="1"/>
  <c r="S282" i="1"/>
  <c r="T282" i="1"/>
  <c r="U282" i="1"/>
  <c r="W282" i="1"/>
  <c r="W270" i="1"/>
  <c r="X282" i="1"/>
  <c r="Y282" i="1"/>
  <c r="D283" i="1"/>
  <c r="E283" i="1"/>
  <c r="H283" i="1"/>
  <c r="H271" i="1"/>
  <c r="I283" i="1"/>
  <c r="J283" i="1"/>
  <c r="M283" i="1"/>
  <c r="N283" i="1"/>
  <c r="Q283" i="1"/>
  <c r="R283" i="1"/>
  <c r="S283" i="1"/>
  <c r="T283" i="1"/>
  <c r="U283" i="1"/>
  <c r="W283" i="1"/>
  <c r="W271" i="1"/>
  <c r="X283" i="1"/>
  <c r="Y283" i="1"/>
  <c r="D284" i="1"/>
  <c r="E284" i="1"/>
  <c r="H284" i="1"/>
  <c r="H272" i="1"/>
  <c r="I284" i="1"/>
  <c r="J284" i="1"/>
  <c r="M284" i="1"/>
  <c r="N284" i="1"/>
  <c r="R284" i="1"/>
  <c r="S284" i="1"/>
  <c r="T284" i="1"/>
  <c r="U284" i="1"/>
  <c r="W284" i="1"/>
  <c r="W272" i="1"/>
  <c r="X284" i="1"/>
  <c r="Y284" i="1"/>
  <c r="D285" i="1"/>
  <c r="E285" i="1"/>
  <c r="H285" i="1"/>
  <c r="H273" i="1"/>
  <c r="I285" i="1"/>
  <c r="J285" i="1"/>
  <c r="M285" i="1"/>
  <c r="R285" i="1"/>
  <c r="S285" i="1"/>
  <c r="T285" i="1"/>
  <c r="U285" i="1"/>
  <c r="W285" i="1"/>
  <c r="W273" i="1"/>
  <c r="X285" i="1"/>
  <c r="Y285" i="1"/>
  <c r="D286" i="1"/>
  <c r="E286" i="1"/>
  <c r="H286" i="1"/>
  <c r="H274" i="1"/>
  <c r="I286" i="1"/>
  <c r="J286" i="1"/>
  <c r="M286" i="1"/>
  <c r="N286" i="1"/>
  <c r="R286" i="1"/>
  <c r="S286" i="1"/>
  <c r="T286" i="1"/>
  <c r="U286" i="1"/>
  <c r="W286" i="1"/>
  <c r="W274" i="1"/>
  <c r="X286" i="1"/>
  <c r="Y286" i="1"/>
  <c r="D287" i="1"/>
  <c r="E287" i="1"/>
  <c r="H287" i="1"/>
  <c r="H275" i="1"/>
  <c r="I287" i="1"/>
  <c r="J287" i="1"/>
  <c r="M287" i="1"/>
  <c r="N287" i="1"/>
  <c r="R287" i="1"/>
  <c r="S287" i="1"/>
  <c r="T287" i="1"/>
  <c r="U287" i="1"/>
  <c r="W287" i="1"/>
  <c r="W275" i="1"/>
  <c r="X287" i="1"/>
  <c r="Y287" i="1"/>
  <c r="D288" i="1"/>
  <c r="E288" i="1"/>
  <c r="H288" i="1"/>
  <c r="H276" i="1"/>
  <c r="I288" i="1"/>
  <c r="J288" i="1"/>
  <c r="M288" i="1"/>
  <c r="R288" i="1"/>
  <c r="S288" i="1"/>
  <c r="T288" i="1"/>
  <c r="U288" i="1"/>
  <c r="W288" i="1"/>
  <c r="W276" i="1"/>
  <c r="X288" i="1"/>
  <c r="Y288" i="1"/>
  <c r="D289" i="1"/>
  <c r="E289" i="1"/>
  <c r="H289" i="1"/>
  <c r="H277" i="1"/>
  <c r="I289" i="1"/>
  <c r="J289" i="1"/>
  <c r="M289" i="1"/>
  <c r="N289" i="1"/>
  <c r="R289" i="1"/>
  <c r="S289" i="1"/>
  <c r="T289" i="1"/>
  <c r="U289" i="1"/>
  <c r="W289" i="1"/>
  <c r="W277" i="1"/>
  <c r="X289" i="1"/>
  <c r="Y289" i="1"/>
  <c r="D290" i="1"/>
  <c r="E290" i="1"/>
  <c r="H290" i="1"/>
  <c r="I290" i="1"/>
  <c r="J290" i="1"/>
  <c r="M290" i="1"/>
  <c r="N290" i="1"/>
  <c r="R290" i="1"/>
  <c r="S290" i="1"/>
  <c r="T290" i="1"/>
  <c r="U290" i="1"/>
  <c r="W290" i="1"/>
  <c r="X290" i="1"/>
  <c r="Y290" i="1"/>
  <c r="C36" i="8654"/>
  <c r="EJ3" i="1"/>
  <c r="EJ4" i="1"/>
  <c r="EJ5" i="1"/>
  <c r="EJ6" i="1"/>
  <c r="EJ7" i="1"/>
  <c r="EJ8" i="1"/>
  <c r="EJ9" i="1"/>
  <c r="B1" i="54"/>
  <c r="E1" i="54"/>
  <c r="F1" i="54"/>
  <c r="B2" i="54"/>
  <c r="E2" i="54"/>
  <c r="F2" i="54"/>
  <c r="B3" i="54"/>
  <c r="E3" i="54"/>
  <c r="F3" i="54"/>
  <c r="B4" i="54"/>
  <c r="E4" i="54"/>
  <c r="F4" i="54"/>
  <c r="B5" i="54"/>
  <c r="E5" i="54"/>
  <c r="F5" i="54"/>
  <c r="B6" i="54"/>
  <c r="E6" i="54"/>
  <c r="F6" i="54"/>
  <c r="B7" i="54"/>
  <c r="E7" i="54"/>
  <c r="F7" i="54"/>
  <c r="B8" i="54"/>
  <c r="E8" i="54"/>
  <c r="F8" i="54"/>
  <c r="B9" i="54"/>
  <c r="E9" i="54"/>
  <c r="F9" i="54"/>
  <c r="B10" i="54"/>
  <c r="E10" i="54"/>
  <c r="F10" i="54"/>
  <c r="B11" i="54"/>
  <c r="E11" i="54"/>
  <c r="F11" i="54"/>
  <c r="B12" i="54"/>
  <c r="E12" i="54"/>
  <c r="F12" i="54"/>
  <c r="B13" i="54"/>
  <c r="E13" i="54"/>
  <c r="F13" i="54"/>
  <c r="B14" i="54"/>
  <c r="BU15" i="1"/>
  <c r="AC44" i="1"/>
  <c r="E14" i="54"/>
  <c r="F14" i="54"/>
  <c r="B15" i="54"/>
  <c r="BV15" i="1"/>
  <c r="E15" i="54"/>
  <c r="F15" i="54"/>
  <c r="G15" i="54"/>
  <c r="H15" i="54"/>
  <c r="B16" i="54"/>
  <c r="BW15" i="1"/>
  <c r="E16" i="54"/>
  <c r="F16" i="54"/>
  <c r="B17" i="54"/>
  <c r="B18" i="54"/>
  <c r="B19" i="54"/>
  <c r="BZ15" i="1"/>
  <c r="AC49" i="1"/>
  <c r="E19" i="54"/>
  <c r="F19" i="54"/>
  <c r="B20" i="54"/>
  <c r="B21" i="54"/>
  <c r="CB15" i="1"/>
  <c r="AC51" i="1"/>
  <c r="E21" i="54"/>
  <c r="F21" i="54"/>
  <c r="B22" i="54"/>
  <c r="CC15" i="1"/>
  <c r="AC52" i="1"/>
  <c r="E22" i="54"/>
  <c r="F22" i="54"/>
  <c r="B23" i="54"/>
  <c r="AC53" i="1"/>
  <c r="E23" i="54"/>
  <c r="F23" i="54"/>
  <c r="B24" i="54"/>
  <c r="AC54" i="1"/>
  <c r="E24" i="54"/>
  <c r="F24" i="54"/>
  <c r="B25" i="54"/>
  <c r="E25" i="54"/>
  <c r="F25" i="54"/>
  <c r="B26" i="54"/>
  <c r="E26" i="54"/>
  <c r="F26" i="54"/>
  <c r="N31" i="54"/>
  <c r="N32" i="54"/>
  <c r="B37" i="54"/>
  <c r="C37" i="54"/>
  <c r="D37" i="54"/>
  <c r="E37" i="54"/>
  <c r="B41" i="54"/>
  <c r="C41" i="54"/>
  <c r="D41" i="54"/>
  <c r="E41" i="54"/>
  <c r="B44" i="54"/>
  <c r="C44" i="54"/>
  <c r="D44" i="54"/>
  <c r="E44" i="54"/>
  <c r="B45" i="54"/>
  <c r="C45" i="54"/>
  <c r="D45" i="54"/>
  <c r="E45" i="54"/>
  <c r="B47" i="54"/>
  <c r="C47" i="54"/>
  <c r="D47" i="54"/>
  <c r="E47" i="54"/>
  <c r="B49" i="54"/>
  <c r="C49" i="54"/>
  <c r="B50" i="54"/>
  <c r="C50" i="54"/>
  <c r="D50" i="54"/>
  <c r="G56" i="54"/>
  <c r="F58" i="54"/>
  <c r="G58" i="54"/>
  <c r="F60" i="54"/>
  <c r="G60" i="54"/>
  <c r="F62" i="54"/>
  <c r="G62" i="54"/>
  <c r="F64" i="54"/>
  <c r="G64" i="54"/>
  <c r="F66" i="54"/>
  <c r="X1" i="1"/>
  <c r="DJ2" i="1"/>
  <c r="DK2" i="1"/>
  <c r="GL2" i="1"/>
  <c r="B3" i="1"/>
  <c r="B4" i="1"/>
  <c r="B5" i="1"/>
  <c r="GM2" i="1"/>
  <c r="C3" i="1"/>
  <c r="C4" i="1"/>
  <c r="C5" i="1"/>
  <c r="GN2" i="1"/>
  <c r="AH3" i="1"/>
  <c r="AI62" i="1"/>
  <c r="AI3" i="1"/>
  <c r="AJ62" i="1"/>
  <c r="AJ3" i="1"/>
  <c r="AK62" i="1"/>
  <c r="AK3" i="1"/>
  <c r="H255" i="1"/>
  <c r="H243" i="1"/>
  <c r="I255" i="1"/>
  <c r="BC3" i="1"/>
  <c r="BD3" i="1"/>
  <c r="BE3" i="1"/>
  <c r="B244" i="1"/>
  <c r="B245" i="1"/>
  <c r="B246" i="1"/>
  <c r="B247" i="1"/>
  <c r="B248" i="1"/>
  <c r="B249" i="1"/>
  <c r="B250" i="1"/>
  <c r="B251" i="1"/>
  <c r="B252" i="1"/>
  <c r="B253" i="1"/>
  <c r="B254" i="1"/>
  <c r="W255" i="1"/>
  <c r="R232" i="1"/>
  <c r="R233" i="1"/>
  <c r="R234" i="1"/>
  <c r="R235" i="1"/>
  <c r="R236" i="1"/>
  <c r="R237" i="1"/>
  <c r="R238" i="1"/>
  <c r="R239" i="1"/>
  <c r="R240" i="1"/>
  <c r="R241" i="1"/>
  <c r="R242" i="1"/>
  <c r="B243" i="1"/>
  <c r="R243" i="1"/>
  <c r="W243" i="1"/>
  <c r="CJ3" i="1"/>
  <c r="CK3" i="1"/>
  <c r="CL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K3" i="1"/>
  <c r="EL3" i="1"/>
  <c r="EM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B6" i="1"/>
  <c r="B7" i="1"/>
  <c r="B8" i="1"/>
  <c r="GM3" i="1"/>
  <c r="C6" i="1"/>
  <c r="C7" i="1"/>
  <c r="C8" i="1"/>
  <c r="GN3" i="1"/>
  <c r="GO3" i="1"/>
  <c r="C45" i="1"/>
  <c r="C46" i="1"/>
  <c r="C47" i="1"/>
  <c r="GO16" i="1"/>
  <c r="C48" i="1"/>
  <c r="C49" i="1"/>
  <c r="C50" i="1"/>
  <c r="GN17" i="1"/>
  <c r="C51" i="1"/>
  <c r="C52" i="1"/>
  <c r="C53" i="1"/>
  <c r="GN18" i="1"/>
  <c r="C54" i="1"/>
  <c r="C55" i="1"/>
  <c r="C56" i="1"/>
  <c r="GN19" i="1"/>
  <c r="C57" i="1"/>
  <c r="C58" i="1"/>
  <c r="C59" i="1"/>
  <c r="GN20" i="1"/>
  <c r="C60" i="1"/>
  <c r="C61" i="1"/>
  <c r="AF14" i="1"/>
  <c r="C62" i="1"/>
  <c r="GN21" i="1"/>
  <c r="C63" i="1"/>
  <c r="C65" i="1"/>
  <c r="GN22" i="1"/>
  <c r="C66" i="1"/>
  <c r="C67" i="1"/>
  <c r="C68" i="1"/>
  <c r="GN23" i="1"/>
  <c r="C69" i="1"/>
  <c r="C70" i="1"/>
  <c r="C71" i="1"/>
  <c r="GN24" i="1"/>
  <c r="C72" i="1"/>
  <c r="C73" i="1"/>
  <c r="C74" i="1"/>
  <c r="GN25" i="1"/>
  <c r="C75" i="1"/>
  <c r="AH4" i="1"/>
  <c r="C76" i="1"/>
  <c r="AH5" i="1"/>
  <c r="C77" i="1"/>
  <c r="GN26" i="1"/>
  <c r="AH6" i="1"/>
  <c r="C78" i="1"/>
  <c r="AH7" i="1"/>
  <c r="C79" i="1"/>
  <c r="AH8" i="1"/>
  <c r="C80" i="1"/>
  <c r="GN27" i="1"/>
  <c r="AH9" i="1"/>
  <c r="C81" i="1"/>
  <c r="AH10" i="1"/>
  <c r="C82" i="1"/>
  <c r="AH11" i="1"/>
  <c r="C83" i="1"/>
  <c r="GN28" i="1"/>
  <c r="AH12" i="1"/>
  <c r="C84" i="1"/>
  <c r="AH13" i="1"/>
  <c r="C85" i="1"/>
  <c r="AH14" i="1"/>
  <c r="C86" i="1"/>
  <c r="GN29" i="1"/>
  <c r="C87" i="1"/>
  <c r="AI63" i="1"/>
  <c r="AI4" i="1"/>
  <c r="C88" i="1"/>
  <c r="AI64" i="1"/>
  <c r="AI5" i="1"/>
  <c r="C89" i="1"/>
  <c r="GN30" i="1"/>
  <c r="AI65" i="1"/>
  <c r="AI6" i="1"/>
  <c r="C90" i="1"/>
  <c r="AI66" i="1"/>
  <c r="AI7" i="1"/>
  <c r="C91" i="1"/>
  <c r="AF82" i="1"/>
  <c r="AI8" i="1"/>
  <c r="C92" i="1"/>
  <c r="GN31" i="1"/>
  <c r="AF83" i="1"/>
  <c r="AI9" i="1"/>
  <c r="C93" i="1"/>
  <c r="AF84" i="1"/>
  <c r="AI10" i="1"/>
  <c r="C94" i="1"/>
  <c r="AF85" i="1"/>
  <c r="AI11" i="1"/>
  <c r="C95" i="1"/>
  <c r="GN32" i="1"/>
  <c r="AF86" i="1"/>
  <c r="AI12" i="1"/>
  <c r="C96" i="1"/>
  <c r="AI72" i="1"/>
  <c r="AI13" i="1"/>
  <c r="C97" i="1"/>
  <c r="AI73" i="1"/>
  <c r="AI14" i="1"/>
  <c r="C98" i="1"/>
  <c r="GN33" i="1"/>
  <c r="C99" i="1"/>
  <c r="AJ63" i="1"/>
  <c r="AJ4" i="1"/>
  <c r="C100" i="1"/>
  <c r="AJ64" i="1"/>
  <c r="AJ5" i="1"/>
  <c r="C101" i="1"/>
  <c r="GN34" i="1"/>
  <c r="AJ65" i="1"/>
  <c r="AJ6" i="1"/>
  <c r="C102" i="1"/>
  <c r="AJ66" i="1"/>
  <c r="AJ7" i="1"/>
  <c r="C103" i="1"/>
  <c r="AJ8" i="1"/>
  <c r="C104" i="1"/>
  <c r="GN35" i="1"/>
  <c r="AJ9" i="1"/>
  <c r="C105" i="1"/>
  <c r="AJ10" i="1"/>
  <c r="C106" i="1"/>
  <c r="AJ11" i="1"/>
  <c r="C107" i="1"/>
  <c r="GN36" i="1"/>
  <c r="AG71" i="1"/>
  <c r="AJ12" i="1"/>
  <c r="C108" i="1"/>
  <c r="AJ72" i="1"/>
  <c r="AJ13" i="1"/>
  <c r="C109" i="1"/>
  <c r="AJ88" i="1"/>
  <c r="AJ73" i="1"/>
  <c r="AJ14" i="1"/>
  <c r="C110" i="1"/>
  <c r="GN37" i="1"/>
  <c r="C111" i="1"/>
  <c r="AK63" i="1"/>
  <c r="AK4" i="1"/>
  <c r="C112" i="1"/>
  <c r="AK64" i="1"/>
  <c r="AK5" i="1"/>
  <c r="C113" i="1"/>
  <c r="GN38" i="1"/>
  <c r="AK65" i="1"/>
  <c r="AK6" i="1"/>
  <c r="C114" i="1"/>
  <c r="AK66" i="1"/>
  <c r="AK7" i="1"/>
  <c r="C115" i="1"/>
  <c r="AK67" i="1"/>
  <c r="AK8" i="1"/>
  <c r="C116" i="1"/>
  <c r="GN39" i="1"/>
  <c r="AK68" i="1"/>
  <c r="AK9" i="1"/>
  <c r="C117" i="1"/>
  <c r="AK69" i="1"/>
  <c r="AK10" i="1"/>
  <c r="C118" i="1"/>
  <c r="AK70" i="1"/>
  <c r="AK11" i="1"/>
  <c r="C119" i="1"/>
  <c r="GN40" i="1"/>
  <c r="AK71" i="1"/>
  <c r="AK12" i="1"/>
  <c r="C120" i="1"/>
  <c r="AK72" i="1"/>
  <c r="AK13" i="1"/>
  <c r="C121" i="1"/>
  <c r="AK73" i="1"/>
  <c r="AK14" i="1"/>
  <c r="C122" i="1"/>
  <c r="GN41" i="1"/>
  <c r="C123" i="1"/>
  <c r="C124" i="1"/>
  <c r="C125" i="1"/>
  <c r="GN42" i="1"/>
  <c r="C126" i="1"/>
  <c r="C127" i="1"/>
  <c r="C128" i="1"/>
  <c r="GN43" i="1"/>
  <c r="GN55" i="1"/>
  <c r="GN56" i="1"/>
  <c r="GN57" i="1"/>
  <c r="GN58" i="1"/>
  <c r="GN59" i="1"/>
  <c r="GN60" i="1"/>
  <c r="GN61" i="1"/>
  <c r="GN62" i="1"/>
  <c r="GN63" i="1"/>
  <c r="GN64" i="1"/>
  <c r="GN65" i="1"/>
  <c r="GN66" i="1"/>
  <c r="GN67" i="1"/>
  <c r="GN68" i="1"/>
  <c r="GN69" i="1"/>
  <c r="GN70" i="1"/>
  <c r="GN71" i="1"/>
  <c r="GN72" i="1"/>
  <c r="GN73" i="1"/>
  <c r="GN74" i="1"/>
  <c r="GN75" i="1"/>
  <c r="GN76" i="1"/>
  <c r="GN77" i="1"/>
  <c r="GN78" i="1"/>
  <c r="GN79" i="1"/>
  <c r="GN80" i="1"/>
  <c r="GN81" i="1"/>
  <c r="GN82" i="1"/>
  <c r="GN83" i="1"/>
  <c r="GN84" i="1"/>
  <c r="GN85" i="1"/>
  <c r="GN86" i="1"/>
  <c r="B45" i="1"/>
  <c r="B46" i="1"/>
  <c r="B47" i="1"/>
  <c r="GN16" i="1"/>
  <c r="B48" i="1"/>
  <c r="B49" i="1"/>
  <c r="B50" i="1"/>
  <c r="GM17" i="1"/>
  <c r="C42" i="1"/>
  <c r="C43" i="1"/>
  <c r="C44" i="1"/>
  <c r="GN15" i="1"/>
  <c r="GP16" i="1"/>
  <c r="GO17" i="1"/>
  <c r="GM16" i="1"/>
  <c r="B51" i="1"/>
  <c r="B52" i="1"/>
  <c r="B53" i="1"/>
  <c r="GM18" i="1"/>
  <c r="B54" i="1"/>
  <c r="B55" i="1"/>
  <c r="B56" i="1"/>
  <c r="GM19" i="1"/>
  <c r="B57" i="1"/>
  <c r="B58" i="1"/>
  <c r="B59" i="1"/>
  <c r="GM20" i="1"/>
  <c r="B60" i="1"/>
  <c r="B61" i="1"/>
  <c r="B62" i="1"/>
  <c r="GM21" i="1"/>
  <c r="B63" i="1"/>
  <c r="B64" i="1"/>
  <c r="B65" i="1"/>
  <c r="GM22" i="1"/>
  <c r="B66" i="1"/>
  <c r="B67" i="1"/>
  <c r="B68" i="1"/>
  <c r="GM23" i="1"/>
  <c r="B69" i="1"/>
  <c r="B70" i="1"/>
  <c r="B71" i="1"/>
  <c r="GM24" i="1"/>
  <c r="B72" i="1"/>
  <c r="B73" i="1"/>
  <c r="B74" i="1"/>
  <c r="GM25" i="1"/>
  <c r="B75" i="1"/>
  <c r="B76" i="1"/>
  <c r="B77" i="1"/>
  <c r="GM26" i="1"/>
  <c r="GL17" i="1"/>
  <c r="GL18" i="1"/>
  <c r="GL19" i="1"/>
  <c r="GL20" i="1"/>
  <c r="GL21" i="1"/>
  <c r="GL22" i="1"/>
  <c r="GL23" i="1"/>
  <c r="GL24" i="1"/>
  <c r="GL25" i="1"/>
  <c r="GL26" i="1"/>
  <c r="B78" i="1"/>
  <c r="B79" i="1"/>
  <c r="B80" i="1"/>
  <c r="GM27" i="1"/>
  <c r="B81" i="1"/>
  <c r="B82" i="1"/>
  <c r="B83" i="1"/>
  <c r="GM28" i="1"/>
  <c r="B84" i="1"/>
  <c r="B85" i="1"/>
  <c r="B86" i="1"/>
  <c r="GM29" i="1"/>
  <c r="B87" i="1"/>
  <c r="B88" i="1"/>
  <c r="B89" i="1"/>
  <c r="GM30" i="1"/>
  <c r="B90" i="1"/>
  <c r="B91" i="1"/>
  <c r="B92" i="1"/>
  <c r="GM31" i="1"/>
  <c r="GL27" i="1"/>
  <c r="GL28" i="1"/>
  <c r="GL29" i="1"/>
  <c r="GL30" i="1"/>
  <c r="GL31" i="1"/>
  <c r="B93" i="1"/>
  <c r="B94" i="1"/>
  <c r="B95" i="1"/>
  <c r="GM32" i="1"/>
  <c r="B96" i="1"/>
  <c r="B97" i="1"/>
  <c r="B98" i="1"/>
  <c r="GM33" i="1"/>
  <c r="B99" i="1"/>
  <c r="B100" i="1"/>
  <c r="B101" i="1"/>
  <c r="GM34" i="1"/>
  <c r="B102" i="1"/>
  <c r="B103" i="1"/>
  <c r="B104" i="1"/>
  <c r="GM35" i="1"/>
  <c r="B105" i="1"/>
  <c r="B106" i="1"/>
  <c r="B107" i="1"/>
  <c r="GM36" i="1"/>
  <c r="B108" i="1"/>
  <c r="B109" i="1"/>
  <c r="B110" i="1"/>
  <c r="GM37" i="1"/>
  <c r="B111" i="1"/>
  <c r="B112" i="1"/>
  <c r="B113" i="1"/>
  <c r="GM38" i="1"/>
  <c r="B114" i="1"/>
  <c r="B115" i="1"/>
  <c r="B116" i="1"/>
  <c r="GM39" i="1"/>
  <c r="B117" i="1"/>
  <c r="B118" i="1"/>
  <c r="B119" i="1"/>
  <c r="GM40" i="1"/>
  <c r="B120" i="1"/>
  <c r="B121" i="1"/>
  <c r="B122" i="1"/>
  <c r="GM41" i="1"/>
  <c r="B123" i="1"/>
  <c r="B124" i="1"/>
  <c r="B125" i="1"/>
  <c r="GM42" i="1"/>
  <c r="B126" i="1"/>
  <c r="B127" i="1"/>
  <c r="B128" i="1"/>
  <c r="GM43" i="1"/>
  <c r="B129" i="1"/>
  <c r="B130" i="1"/>
  <c r="B131" i="1"/>
  <c r="GM44" i="1"/>
  <c r="B132" i="1"/>
  <c r="B133" i="1"/>
  <c r="B134" i="1"/>
  <c r="GM45" i="1"/>
  <c r="B135" i="1"/>
  <c r="B136" i="1"/>
  <c r="B137" i="1"/>
  <c r="GM46" i="1"/>
  <c r="B138" i="1"/>
  <c r="B139" i="1"/>
  <c r="B140" i="1"/>
  <c r="GM47" i="1"/>
  <c r="B141" i="1"/>
  <c r="B142" i="1"/>
  <c r="B143" i="1"/>
  <c r="GM48" i="1"/>
  <c r="B144" i="1"/>
  <c r="B145" i="1"/>
  <c r="B146" i="1"/>
  <c r="GM49" i="1"/>
  <c r="B147" i="1"/>
  <c r="B148" i="1"/>
  <c r="B149" i="1"/>
  <c r="GM50" i="1"/>
  <c r="B150" i="1"/>
  <c r="B151" i="1"/>
  <c r="B152" i="1"/>
  <c r="GM51" i="1"/>
  <c r="B153" i="1"/>
  <c r="B154" i="1"/>
  <c r="B155" i="1"/>
  <c r="GM52" i="1"/>
  <c r="B156" i="1"/>
  <c r="B157" i="1"/>
  <c r="B158" i="1"/>
  <c r="GM53" i="1"/>
  <c r="B159" i="1"/>
  <c r="B160" i="1"/>
  <c r="B161" i="1"/>
  <c r="GM54" i="1"/>
  <c r="B162" i="1"/>
  <c r="B163" i="1"/>
  <c r="B164" i="1"/>
  <c r="GM55" i="1"/>
  <c r="B165" i="1"/>
  <c r="B166" i="1"/>
  <c r="B167" i="1"/>
  <c r="GM56" i="1"/>
  <c r="B168" i="1"/>
  <c r="B169" i="1"/>
  <c r="B170" i="1"/>
  <c r="GM57" i="1"/>
  <c r="B171" i="1"/>
  <c r="B172" i="1"/>
  <c r="B173" i="1"/>
  <c r="GM58" i="1"/>
  <c r="B174" i="1"/>
  <c r="B175" i="1"/>
  <c r="B176" i="1"/>
  <c r="GM59" i="1"/>
  <c r="B177" i="1"/>
  <c r="B178" i="1"/>
  <c r="B179" i="1"/>
  <c r="GM60" i="1"/>
  <c r="B180" i="1"/>
  <c r="B181" i="1"/>
  <c r="B182" i="1"/>
  <c r="GM61" i="1"/>
  <c r="B183" i="1"/>
  <c r="B184" i="1"/>
  <c r="B185" i="1"/>
  <c r="GM62" i="1"/>
  <c r="B186" i="1"/>
  <c r="B187" i="1"/>
  <c r="B188" i="1"/>
  <c r="GM63" i="1"/>
  <c r="B189" i="1"/>
  <c r="B190" i="1"/>
  <c r="B191" i="1"/>
  <c r="GM64" i="1"/>
  <c r="B192" i="1"/>
  <c r="B193" i="1"/>
  <c r="B194" i="1"/>
  <c r="GM65" i="1"/>
  <c r="B195" i="1"/>
  <c r="B196" i="1"/>
  <c r="B197" i="1"/>
  <c r="GM66" i="1"/>
  <c r="B198" i="1"/>
  <c r="B199" i="1"/>
  <c r="B200" i="1"/>
  <c r="GM67" i="1"/>
  <c r="B201" i="1"/>
  <c r="B202" i="1"/>
  <c r="B203" i="1"/>
  <c r="GM68" i="1"/>
  <c r="B204" i="1"/>
  <c r="B205" i="1"/>
  <c r="B206" i="1"/>
  <c r="GM69" i="1"/>
  <c r="B207" i="1"/>
  <c r="B208" i="1"/>
  <c r="B209" i="1"/>
  <c r="GM70" i="1"/>
  <c r="B210" i="1"/>
  <c r="B211" i="1"/>
  <c r="B212" i="1"/>
  <c r="GM71" i="1"/>
  <c r="B213" i="1"/>
  <c r="B214" i="1"/>
  <c r="B215" i="1"/>
  <c r="GM72" i="1"/>
  <c r="B216" i="1"/>
  <c r="B217" i="1"/>
  <c r="B218" i="1"/>
  <c r="GM73" i="1"/>
  <c r="B219" i="1"/>
  <c r="B220" i="1"/>
  <c r="B221" i="1"/>
  <c r="GM74" i="1"/>
  <c r="B222" i="1"/>
  <c r="B223" i="1"/>
  <c r="B224" i="1"/>
  <c r="GM75" i="1"/>
  <c r="B225" i="1"/>
  <c r="B226" i="1"/>
  <c r="B227" i="1"/>
  <c r="GM76" i="1"/>
  <c r="B228" i="1"/>
  <c r="B229" i="1"/>
  <c r="B230" i="1"/>
  <c r="GM77" i="1"/>
  <c r="B231" i="1"/>
  <c r="B232" i="1"/>
  <c r="B233" i="1"/>
  <c r="GM78" i="1"/>
  <c r="B234" i="1"/>
  <c r="B235" i="1"/>
  <c r="B236" i="1"/>
  <c r="GM79" i="1"/>
  <c r="B237" i="1"/>
  <c r="B238" i="1"/>
  <c r="B239" i="1"/>
  <c r="GM80" i="1"/>
  <c r="B240" i="1"/>
  <c r="B241" i="1"/>
  <c r="B242" i="1"/>
  <c r="GM81" i="1"/>
  <c r="GM82" i="1"/>
  <c r="GM83" i="1"/>
  <c r="GM84" i="1"/>
  <c r="GM85" i="1"/>
  <c r="GM86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N115" i="1"/>
  <c r="C15" i="1"/>
  <c r="C16" i="1"/>
  <c r="C17" i="1"/>
  <c r="GN6" i="1"/>
  <c r="C18" i="1"/>
  <c r="C19" i="1"/>
  <c r="C20" i="1"/>
  <c r="GN7" i="1"/>
  <c r="GO7" i="1"/>
  <c r="C21" i="1"/>
  <c r="C22" i="1"/>
  <c r="C23" i="1"/>
  <c r="GN8" i="1"/>
  <c r="GO8" i="1"/>
  <c r="C24" i="1"/>
  <c r="C25" i="1"/>
  <c r="C26" i="1"/>
  <c r="GN9" i="1"/>
  <c r="GO9" i="1"/>
  <c r="C27" i="1"/>
  <c r="C28" i="1"/>
  <c r="C29" i="1"/>
  <c r="GN10" i="1"/>
  <c r="GO10" i="1"/>
  <c r="C30" i="1"/>
  <c r="C31" i="1"/>
  <c r="C32" i="1"/>
  <c r="GN11" i="1"/>
  <c r="GO11" i="1"/>
  <c r="C33" i="1"/>
  <c r="C34" i="1"/>
  <c r="C35" i="1"/>
  <c r="GN12" i="1"/>
  <c r="GO12" i="1"/>
  <c r="C36" i="1"/>
  <c r="C37" i="1"/>
  <c r="C38" i="1"/>
  <c r="GN13" i="1"/>
  <c r="GO13" i="1"/>
  <c r="C39" i="1"/>
  <c r="C40" i="1"/>
  <c r="C41" i="1"/>
  <c r="GN14" i="1"/>
  <c r="GO14" i="1"/>
  <c r="GO15" i="1"/>
  <c r="GO18" i="1"/>
  <c r="GO19" i="1"/>
  <c r="GO20" i="1"/>
  <c r="GO21" i="1"/>
  <c r="GO22" i="1"/>
  <c r="GO23" i="1"/>
  <c r="GO24" i="1"/>
  <c r="GO25" i="1"/>
  <c r="GO26" i="1"/>
  <c r="GO27" i="1"/>
  <c r="GO28" i="1"/>
  <c r="GO29" i="1"/>
  <c r="GO30" i="1"/>
  <c r="GO31" i="1"/>
  <c r="GO32" i="1"/>
  <c r="GO33" i="1"/>
  <c r="GO34" i="1"/>
  <c r="GO35" i="1"/>
  <c r="GO36" i="1"/>
  <c r="GO37" i="1"/>
  <c r="GO38" i="1"/>
  <c r="GO39" i="1"/>
  <c r="GO40" i="1"/>
  <c r="GO41" i="1"/>
  <c r="GO42" i="1"/>
  <c r="GO43" i="1"/>
  <c r="GO44" i="1"/>
  <c r="GO55" i="1"/>
  <c r="GO56" i="1"/>
  <c r="GO57" i="1"/>
  <c r="GO58" i="1"/>
  <c r="GO59" i="1"/>
  <c r="GO60" i="1"/>
  <c r="GO61" i="1"/>
  <c r="GO62" i="1"/>
  <c r="GO63" i="1"/>
  <c r="GO64" i="1"/>
  <c r="GO65" i="1"/>
  <c r="GO66" i="1"/>
  <c r="GO67" i="1"/>
  <c r="GO68" i="1"/>
  <c r="GO69" i="1"/>
  <c r="GO70" i="1"/>
  <c r="GO71" i="1"/>
  <c r="GO72" i="1"/>
  <c r="GO73" i="1"/>
  <c r="GO74" i="1"/>
  <c r="GO75" i="1"/>
  <c r="GO76" i="1"/>
  <c r="GO77" i="1"/>
  <c r="GO78" i="1"/>
  <c r="GO79" i="1"/>
  <c r="GO80" i="1"/>
  <c r="GO81" i="1"/>
  <c r="GO82" i="1"/>
  <c r="GO83" i="1"/>
  <c r="GO84" i="1"/>
  <c r="GO85" i="1"/>
  <c r="GO86" i="1"/>
  <c r="GO87" i="1"/>
  <c r="GO88" i="1"/>
  <c r="GO89" i="1"/>
  <c r="GO90" i="1"/>
  <c r="GO91" i="1"/>
  <c r="GO92" i="1"/>
  <c r="GO93" i="1"/>
  <c r="GV57" i="1"/>
  <c r="HI3" i="1"/>
  <c r="HJ3" i="1"/>
  <c r="L4" i="1"/>
  <c r="C9" i="1"/>
  <c r="C10" i="1"/>
  <c r="C11" i="1"/>
  <c r="C12" i="1"/>
  <c r="C13" i="1"/>
  <c r="C14" i="1"/>
  <c r="C31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317" i="1"/>
  <c r="P4" i="1"/>
  <c r="Q4" i="1"/>
  <c r="T4" i="1"/>
  <c r="U4" i="1"/>
  <c r="H256" i="1"/>
  <c r="H244" i="1"/>
  <c r="I256" i="1"/>
  <c r="BC4" i="1"/>
  <c r="BD4" i="1"/>
  <c r="BE4" i="1"/>
  <c r="W256" i="1"/>
  <c r="R244" i="1"/>
  <c r="W244" i="1"/>
  <c r="CJ4" i="1"/>
  <c r="CK4" i="1"/>
  <c r="CL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M4" i="1"/>
  <c r="DN4" i="1"/>
  <c r="DO4" i="1"/>
  <c r="DP4" i="1"/>
  <c r="DQ4" i="1"/>
  <c r="DR4" i="1"/>
  <c r="DS4" i="1"/>
  <c r="DT4" i="1"/>
  <c r="DU4" i="1"/>
  <c r="DV4" i="1"/>
  <c r="DW4" i="1"/>
  <c r="DX4" i="1"/>
  <c r="DY4" i="1"/>
  <c r="DZ4" i="1"/>
  <c r="EA4" i="1"/>
  <c r="EB4" i="1"/>
  <c r="EC4" i="1"/>
  <c r="ED4" i="1"/>
  <c r="EE4" i="1"/>
  <c r="EF4" i="1"/>
  <c r="EG4" i="1"/>
  <c r="EH4" i="1"/>
  <c r="EI4" i="1"/>
  <c r="EK4" i="1"/>
  <c r="EL4" i="1"/>
  <c r="EM4" i="1"/>
  <c r="EO4" i="1"/>
  <c r="EP4" i="1"/>
  <c r="EQ4" i="1"/>
  <c r="ER4" i="1"/>
  <c r="ES4" i="1"/>
  <c r="ET4" i="1"/>
  <c r="EU4" i="1"/>
  <c r="EV4" i="1"/>
  <c r="EW4" i="1"/>
  <c r="EX4" i="1"/>
  <c r="EY4" i="1"/>
  <c r="EZ4" i="1"/>
  <c r="FA4" i="1"/>
  <c r="FB4" i="1"/>
  <c r="FC4" i="1"/>
  <c r="FD4" i="1"/>
  <c r="FE4" i="1"/>
  <c r="FF4" i="1"/>
  <c r="FG4" i="1"/>
  <c r="FH4" i="1"/>
  <c r="FI4" i="1"/>
  <c r="FJ4" i="1"/>
  <c r="FK4" i="1"/>
  <c r="FL4" i="1"/>
  <c r="FN4" i="1"/>
  <c r="FO4" i="1"/>
  <c r="FP4" i="1"/>
  <c r="FQ4" i="1"/>
  <c r="FR4" i="1"/>
  <c r="FS4" i="1"/>
  <c r="FT4" i="1"/>
  <c r="FU4" i="1"/>
  <c r="FV4" i="1"/>
  <c r="FW4" i="1"/>
  <c r="FX4" i="1"/>
  <c r="FY4" i="1"/>
  <c r="FZ4" i="1"/>
  <c r="GA4" i="1"/>
  <c r="GB4" i="1"/>
  <c r="GC4" i="1"/>
  <c r="GD4" i="1"/>
  <c r="GE4" i="1"/>
  <c r="GF4" i="1"/>
  <c r="GG4" i="1"/>
  <c r="GH4" i="1"/>
  <c r="GI4" i="1"/>
  <c r="GJ4" i="1"/>
  <c r="GK4" i="1"/>
  <c r="GL4" i="1"/>
  <c r="B9" i="1"/>
  <c r="B10" i="1"/>
  <c r="B11" i="1"/>
  <c r="GM4" i="1"/>
  <c r="GN4" i="1"/>
  <c r="GO4" i="1"/>
  <c r="GZ57" i="1"/>
  <c r="HA57" i="1"/>
  <c r="HI4" i="1"/>
  <c r="D5" i="1"/>
  <c r="P5" i="1"/>
  <c r="Q5" i="1"/>
  <c r="T5" i="1"/>
  <c r="U5" i="1"/>
  <c r="H257" i="1"/>
  <c r="H245" i="1"/>
  <c r="I257" i="1"/>
  <c r="BC5" i="1"/>
  <c r="BD5" i="1"/>
  <c r="BE5" i="1"/>
  <c r="W257" i="1"/>
  <c r="R245" i="1"/>
  <c r="W245" i="1"/>
  <c r="CJ5" i="1"/>
  <c r="CK5" i="1"/>
  <c r="CL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M5" i="1"/>
  <c r="DN5" i="1"/>
  <c r="DO5" i="1"/>
  <c r="DP5" i="1"/>
  <c r="DQ5" i="1"/>
  <c r="DR5" i="1"/>
  <c r="DS5" i="1"/>
  <c r="DT5" i="1"/>
  <c r="DU5" i="1"/>
  <c r="DV5" i="1"/>
  <c r="DW5" i="1"/>
  <c r="DX5" i="1"/>
  <c r="DY5" i="1"/>
  <c r="DZ5" i="1"/>
  <c r="EA5" i="1"/>
  <c r="EB5" i="1"/>
  <c r="EC5" i="1"/>
  <c r="ED5" i="1"/>
  <c r="EE5" i="1"/>
  <c r="EF5" i="1"/>
  <c r="EG5" i="1"/>
  <c r="EH5" i="1"/>
  <c r="EI5" i="1"/>
  <c r="EK5" i="1"/>
  <c r="EL5" i="1"/>
  <c r="EM5" i="1"/>
  <c r="EO5" i="1"/>
  <c r="EP5" i="1"/>
  <c r="EQ5" i="1"/>
  <c r="ER5" i="1"/>
  <c r="ES5" i="1"/>
  <c r="ET5" i="1"/>
  <c r="EU5" i="1"/>
  <c r="EV5" i="1"/>
  <c r="EW5" i="1"/>
  <c r="EX5" i="1"/>
  <c r="EY5" i="1"/>
  <c r="EZ5" i="1"/>
  <c r="FA5" i="1"/>
  <c r="FB5" i="1"/>
  <c r="FC5" i="1"/>
  <c r="FD5" i="1"/>
  <c r="FE5" i="1"/>
  <c r="FF5" i="1"/>
  <c r="FG5" i="1"/>
  <c r="FH5" i="1"/>
  <c r="FI5" i="1"/>
  <c r="FJ5" i="1"/>
  <c r="FK5" i="1"/>
  <c r="FL5" i="1"/>
  <c r="FN5" i="1"/>
  <c r="FO5" i="1"/>
  <c r="FP5" i="1"/>
  <c r="FQ5" i="1"/>
  <c r="FR5" i="1"/>
  <c r="FS5" i="1"/>
  <c r="FT5" i="1"/>
  <c r="FU5" i="1"/>
  <c r="FV5" i="1"/>
  <c r="FW5" i="1"/>
  <c r="FX5" i="1"/>
  <c r="FY5" i="1"/>
  <c r="FZ5" i="1"/>
  <c r="GA5" i="1"/>
  <c r="GB5" i="1"/>
  <c r="GC5" i="1"/>
  <c r="GD5" i="1"/>
  <c r="GE5" i="1"/>
  <c r="GF5" i="1"/>
  <c r="GG5" i="1"/>
  <c r="GH5" i="1"/>
  <c r="GI5" i="1"/>
  <c r="GJ5" i="1"/>
  <c r="GK5" i="1"/>
  <c r="GL5" i="1"/>
  <c r="B12" i="1"/>
  <c r="B13" i="1"/>
  <c r="B14" i="1"/>
  <c r="GM5" i="1"/>
  <c r="GN5" i="1"/>
  <c r="GO5" i="1"/>
  <c r="GR5" i="1"/>
  <c r="HI5" i="1"/>
  <c r="HJ5" i="1"/>
  <c r="D6" i="1"/>
  <c r="P6" i="1"/>
  <c r="Q6" i="1"/>
  <c r="T6" i="1"/>
  <c r="U6" i="1"/>
  <c r="H258" i="1"/>
  <c r="H246" i="1"/>
  <c r="I258" i="1"/>
  <c r="BC6" i="1"/>
  <c r="BD6" i="1"/>
  <c r="BE6" i="1"/>
  <c r="W258" i="1"/>
  <c r="R246" i="1"/>
  <c r="W246" i="1"/>
  <c r="CJ6" i="1"/>
  <c r="CK6" i="1"/>
  <c r="CL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M6" i="1"/>
  <c r="DN6" i="1"/>
  <c r="DO6" i="1"/>
  <c r="DP6" i="1"/>
  <c r="DQ6" i="1"/>
  <c r="DR6" i="1"/>
  <c r="DS6" i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I6" i="1"/>
  <c r="EK6" i="1"/>
  <c r="EL6" i="1"/>
  <c r="EM6" i="1"/>
  <c r="EO6" i="1"/>
  <c r="EP6" i="1"/>
  <c r="EQ6" i="1"/>
  <c r="ER6" i="1"/>
  <c r="ES6" i="1"/>
  <c r="ET6" i="1"/>
  <c r="EU6" i="1"/>
  <c r="EV6" i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FL6" i="1"/>
  <c r="FN6" i="1"/>
  <c r="FO6" i="1"/>
  <c r="FP6" i="1"/>
  <c r="FQ6" i="1"/>
  <c r="FR6" i="1"/>
  <c r="FS6" i="1"/>
  <c r="FT6" i="1"/>
  <c r="FU6" i="1"/>
  <c r="FV6" i="1"/>
  <c r="FW6" i="1"/>
  <c r="FX6" i="1"/>
  <c r="FY6" i="1"/>
  <c r="FZ6" i="1"/>
  <c r="GA6" i="1"/>
  <c r="GB6" i="1"/>
  <c r="GC6" i="1"/>
  <c r="GD6" i="1"/>
  <c r="GE6" i="1"/>
  <c r="GF6" i="1"/>
  <c r="GG6" i="1"/>
  <c r="GH6" i="1"/>
  <c r="GI6" i="1"/>
  <c r="GJ6" i="1"/>
  <c r="GK6" i="1"/>
  <c r="GL6" i="1"/>
  <c r="B15" i="1"/>
  <c r="B16" i="1"/>
  <c r="B17" i="1"/>
  <c r="GM6" i="1"/>
  <c r="GO6" i="1"/>
  <c r="GR6" i="1"/>
  <c r="GT6" i="1"/>
  <c r="GV53" i="1"/>
  <c r="HI6" i="1"/>
  <c r="HJ6" i="1"/>
  <c r="D7" i="1"/>
  <c r="P7" i="1"/>
  <c r="Q7" i="1"/>
  <c r="T7" i="1"/>
  <c r="U7" i="1"/>
  <c r="H259" i="1"/>
  <c r="H247" i="1"/>
  <c r="I259" i="1"/>
  <c r="BC7" i="1"/>
  <c r="BD7" i="1"/>
  <c r="BE7" i="1"/>
  <c r="W259" i="1"/>
  <c r="R247" i="1"/>
  <c r="W247" i="1"/>
  <c r="CJ7" i="1"/>
  <c r="CK7" i="1"/>
  <c r="CL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K7" i="1"/>
  <c r="EL7" i="1"/>
  <c r="EM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L7" i="1"/>
  <c r="FN7" i="1"/>
  <c r="FO7" i="1"/>
  <c r="FP7" i="1"/>
  <c r="FQ7" i="1"/>
  <c r="FR7" i="1"/>
  <c r="FS7" i="1"/>
  <c r="FT7" i="1"/>
  <c r="FU7" i="1"/>
  <c r="FV7" i="1"/>
  <c r="FW7" i="1"/>
  <c r="FX7" i="1"/>
  <c r="FY7" i="1"/>
  <c r="FZ7" i="1"/>
  <c r="GA7" i="1"/>
  <c r="GB7" i="1"/>
  <c r="GC7" i="1"/>
  <c r="GD7" i="1"/>
  <c r="GE7" i="1"/>
  <c r="GF7" i="1"/>
  <c r="GG7" i="1"/>
  <c r="GH7" i="1"/>
  <c r="GI7" i="1"/>
  <c r="GJ7" i="1"/>
  <c r="GK7" i="1"/>
  <c r="GL7" i="1"/>
  <c r="B18" i="1"/>
  <c r="B19" i="1"/>
  <c r="B20" i="1"/>
  <c r="GM7" i="1"/>
  <c r="GR7" i="1"/>
  <c r="GT7" i="1"/>
  <c r="GW57" i="1"/>
  <c r="GX57" i="1"/>
  <c r="HB57" i="1"/>
  <c r="HI7" i="1"/>
  <c r="D8" i="1"/>
  <c r="P8" i="1"/>
  <c r="Q8" i="1"/>
  <c r="T8" i="1"/>
  <c r="U8" i="1"/>
  <c r="H260" i="1"/>
  <c r="H248" i="1"/>
  <c r="I260" i="1"/>
  <c r="BC8" i="1"/>
  <c r="BD8" i="1"/>
  <c r="BE8" i="1"/>
  <c r="W260" i="1"/>
  <c r="R248" i="1"/>
  <c r="W248" i="1"/>
  <c r="CJ8" i="1"/>
  <c r="CK8" i="1"/>
  <c r="CL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DB8" i="1"/>
  <c r="DC8" i="1"/>
  <c r="DD8" i="1"/>
  <c r="DE8" i="1"/>
  <c r="DF8" i="1"/>
  <c r="DG8" i="1"/>
  <c r="DH8" i="1"/>
  <c r="DM8" i="1"/>
  <c r="DN8" i="1"/>
  <c r="DO8" i="1"/>
  <c r="DP8" i="1"/>
  <c r="DQ8" i="1"/>
  <c r="DR8" i="1"/>
  <c r="DS8" i="1"/>
  <c r="DT8" i="1"/>
  <c r="DU8" i="1"/>
  <c r="DV8" i="1"/>
  <c r="DW8" i="1"/>
  <c r="DX8" i="1"/>
  <c r="DY8" i="1"/>
  <c r="DZ8" i="1"/>
  <c r="EA8" i="1"/>
  <c r="EB8" i="1"/>
  <c r="EC8" i="1"/>
  <c r="ED8" i="1"/>
  <c r="EE8" i="1"/>
  <c r="EF8" i="1"/>
  <c r="EG8" i="1"/>
  <c r="EH8" i="1"/>
  <c r="EI8" i="1"/>
  <c r="EK8" i="1"/>
  <c r="EL8" i="1"/>
  <c r="EM8" i="1"/>
  <c r="EO8" i="1"/>
  <c r="EP8" i="1"/>
  <c r="EQ8" i="1"/>
  <c r="ER8" i="1"/>
  <c r="ES8" i="1"/>
  <c r="ET8" i="1"/>
  <c r="EU8" i="1"/>
  <c r="EV8" i="1"/>
  <c r="EW8" i="1"/>
  <c r="EX8" i="1"/>
  <c r="EY8" i="1"/>
  <c r="EZ8" i="1"/>
  <c r="FA8" i="1"/>
  <c r="FB8" i="1"/>
  <c r="FC8" i="1"/>
  <c r="FD8" i="1"/>
  <c r="FE8" i="1"/>
  <c r="FF8" i="1"/>
  <c r="FG8" i="1"/>
  <c r="FH8" i="1"/>
  <c r="FI8" i="1"/>
  <c r="FJ8" i="1"/>
  <c r="FK8" i="1"/>
  <c r="FL8" i="1"/>
  <c r="FN8" i="1"/>
  <c r="FO8" i="1"/>
  <c r="FP8" i="1"/>
  <c r="FQ8" i="1"/>
  <c r="FR8" i="1"/>
  <c r="FS8" i="1"/>
  <c r="FT8" i="1"/>
  <c r="FU8" i="1"/>
  <c r="FV8" i="1"/>
  <c r="FW8" i="1"/>
  <c r="FX8" i="1"/>
  <c r="FY8" i="1"/>
  <c r="FZ8" i="1"/>
  <c r="GA8" i="1"/>
  <c r="GB8" i="1"/>
  <c r="GC8" i="1"/>
  <c r="GD8" i="1"/>
  <c r="GE8" i="1"/>
  <c r="GF8" i="1"/>
  <c r="GG8" i="1"/>
  <c r="GH8" i="1"/>
  <c r="GI8" i="1"/>
  <c r="GJ8" i="1"/>
  <c r="GK8" i="1"/>
  <c r="GL8" i="1"/>
  <c r="B21" i="1"/>
  <c r="B22" i="1"/>
  <c r="B23" i="1"/>
  <c r="GM8" i="1"/>
  <c r="GR8" i="1"/>
  <c r="GT8" i="1"/>
  <c r="GZ53" i="1"/>
  <c r="HC57" i="1"/>
  <c r="HI8" i="1"/>
  <c r="D9" i="1"/>
  <c r="P9" i="1"/>
  <c r="Q9" i="1"/>
  <c r="T9" i="1"/>
  <c r="U9" i="1"/>
  <c r="H261" i="1"/>
  <c r="H249" i="1"/>
  <c r="I261" i="1"/>
  <c r="BC9" i="1"/>
  <c r="BD9" i="1"/>
  <c r="BE9" i="1"/>
  <c r="W261" i="1"/>
  <c r="R249" i="1"/>
  <c r="W249" i="1"/>
  <c r="CJ9" i="1"/>
  <c r="CK9" i="1"/>
  <c r="CL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K9" i="1"/>
  <c r="EL9" i="1"/>
  <c r="EM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B24" i="1"/>
  <c r="B25" i="1"/>
  <c r="B26" i="1"/>
  <c r="GM9" i="1"/>
  <c r="GR9" i="1"/>
  <c r="GS9" i="1"/>
  <c r="GT9" i="1"/>
  <c r="GU9" i="1"/>
  <c r="GV9" i="1"/>
  <c r="GX9" i="1"/>
  <c r="GZ9" i="1"/>
  <c r="HA9" i="1"/>
  <c r="HI9" i="1"/>
  <c r="D10" i="1"/>
  <c r="P10" i="1"/>
  <c r="Q10" i="1"/>
  <c r="T10" i="1"/>
  <c r="U10" i="1"/>
  <c r="H262" i="1"/>
  <c r="H250" i="1"/>
  <c r="I262" i="1"/>
  <c r="BC10" i="1"/>
  <c r="BD10" i="1"/>
  <c r="BE10" i="1"/>
  <c r="W262" i="1"/>
  <c r="R250" i="1"/>
  <c r="W250" i="1"/>
  <c r="CJ10" i="1"/>
  <c r="CK10" i="1"/>
  <c r="CL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M10" i="1"/>
  <c r="DN10" i="1"/>
  <c r="DO10" i="1"/>
  <c r="DP10" i="1"/>
  <c r="DQ10" i="1"/>
  <c r="DR10" i="1"/>
  <c r="DS10" i="1"/>
  <c r="DT10" i="1"/>
  <c r="DU10" i="1"/>
  <c r="DV10" i="1"/>
  <c r="DW10" i="1"/>
  <c r="DX10" i="1"/>
  <c r="DY10" i="1"/>
  <c r="DZ10" i="1"/>
  <c r="EA10" i="1"/>
  <c r="EB10" i="1"/>
  <c r="EC10" i="1"/>
  <c r="ED10" i="1"/>
  <c r="EE10" i="1"/>
  <c r="EF10" i="1"/>
  <c r="EG10" i="1"/>
  <c r="EH10" i="1"/>
  <c r="EI10" i="1"/>
  <c r="EJ10" i="1"/>
  <c r="EK10" i="1"/>
  <c r="EL10" i="1"/>
  <c r="EM10" i="1"/>
  <c r="EO10" i="1"/>
  <c r="EP10" i="1"/>
  <c r="EQ10" i="1"/>
  <c r="ER10" i="1"/>
  <c r="ES10" i="1"/>
  <c r="ET10" i="1"/>
  <c r="EU10" i="1"/>
  <c r="EV10" i="1"/>
  <c r="EW10" i="1"/>
  <c r="EX10" i="1"/>
  <c r="EY10" i="1"/>
  <c r="EZ10" i="1"/>
  <c r="FA10" i="1"/>
  <c r="FB10" i="1"/>
  <c r="FC10" i="1"/>
  <c r="FD10" i="1"/>
  <c r="FE10" i="1"/>
  <c r="FF10" i="1"/>
  <c r="FG10" i="1"/>
  <c r="FH10" i="1"/>
  <c r="FI10" i="1"/>
  <c r="FJ10" i="1"/>
  <c r="FK10" i="1"/>
  <c r="FL10" i="1"/>
  <c r="FN10" i="1"/>
  <c r="FO10" i="1"/>
  <c r="FP10" i="1"/>
  <c r="FQ10" i="1"/>
  <c r="FR10" i="1"/>
  <c r="FS10" i="1"/>
  <c r="FT10" i="1"/>
  <c r="FU10" i="1"/>
  <c r="FV10" i="1"/>
  <c r="FW10" i="1"/>
  <c r="FX10" i="1"/>
  <c r="FY10" i="1"/>
  <c r="FZ10" i="1"/>
  <c r="GA10" i="1"/>
  <c r="GB10" i="1"/>
  <c r="GC10" i="1"/>
  <c r="GD10" i="1"/>
  <c r="GE10" i="1"/>
  <c r="GF10" i="1"/>
  <c r="GG10" i="1"/>
  <c r="GH10" i="1"/>
  <c r="GI10" i="1"/>
  <c r="GJ10" i="1"/>
  <c r="GK10" i="1"/>
  <c r="GL10" i="1"/>
  <c r="B27" i="1"/>
  <c r="B28" i="1"/>
  <c r="B29" i="1"/>
  <c r="GM10" i="1"/>
  <c r="GR10" i="1"/>
  <c r="GS10" i="1"/>
  <c r="GT10" i="1"/>
  <c r="GU10" i="1"/>
  <c r="GV10" i="1"/>
  <c r="GX10" i="1"/>
  <c r="GZ10" i="1"/>
  <c r="HA10" i="1"/>
  <c r="D11" i="1"/>
  <c r="P11" i="1"/>
  <c r="Q11" i="1"/>
  <c r="T11" i="1"/>
  <c r="U11" i="1"/>
  <c r="H263" i="1"/>
  <c r="H251" i="1"/>
  <c r="I263" i="1"/>
  <c r="BC11" i="1"/>
  <c r="BD11" i="1"/>
  <c r="BE11" i="1"/>
  <c r="W263" i="1"/>
  <c r="R251" i="1"/>
  <c r="W251" i="1"/>
  <c r="CJ11" i="1"/>
  <c r="CK11" i="1"/>
  <c r="CL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B30" i="1"/>
  <c r="B31" i="1"/>
  <c r="B32" i="1"/>
  <c r="GM11" i="1"/>
  <c r="GR11" i="1"/>
  <c r="GS11" i="1"/>
  <c r="GT11" i="1"/>
  <c r="GU11" i="1"/>
  <c r="GV11" i="1"/>
  <c r="GX11" i="1"/>
  <c r="GZ11" i="1"/>
  <c r="HA11" i="1"/>
  <c r="D12" i="1"/>
  <c r="P12" i="1"/>
  <c r="Q12" i="1"/>
  <c r="T12" i="1"/>
  <c r="U12" i="1"/>
  <c r="H264" i="1"/>
  <c r="H252" i="1"/>
  <c r="I264" i="1"/>
  <c r="BC12" i="1"/>
  <c r="BD12" i="1"/>
  <c r="BE12" i="1"/>
  <c r="W264" i="1"/>
  <c r="R252" i="1"/>
  <c r="W252" i="1"/>
  <c r="CJ12" i="1"/>
  <c r="CK12" i="1"/>
  <c r="CL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B33" i="1"/>
  <c r="B34" i="1"/>
  <c r="B35" i="1"/>
  <c r="GM12" i="1"/>
  <c r="GR12" i="1"/>
  <c r="GS12" i="1"/>
  <c r="GT12" i="1"/>
  <c r="GU12" i="1"/>
  <c r="GV12" i="1"/>
  <c r="GX12" i="1"/>
  <c r="GZ12" i="1"/>
  <c r="HA12" i="1"/>
  <c r="D13" i="1"/>
  <c r="P13" i="1"/>
  <c r="Q13" i="1"/>
  <c r="T13" i="1"/>
  <c r="U13" i="1"/>
  <c r="H265" i="1"/>
  <c r="H253" i="1"/>
  <c r="I265" i="1"/>
  <c r="BC13" i="1"/>
  <c r="BD13" i="1"/>
  <c r="BE13" i="1"/>
  <c r="W265" i="1"/>
  <c r="R253" i="1"/>
  <c r="W253" i="1"/>
  <c r="CJ13" i="1"/>
  <c r="CK13" i="1"/>
  <c r="CL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B36" i="1"/>
  <c r="B37" i="1"/>
  <c r="B38" i="1"/>
  <c r="GM13" i="1"/>
  <c r="GR13" i="1"/>
  <c r="GS13" i="1"/>
  <c r="GT13" i="1"/>
  <c r="GU13" i="1"/>
  <c r="GV13" i="1"/>
  <c r="GW13" i="1"/>
  <c r="GX13" i="1"/>
  <c r="GZ13" i="1"/>
  <c r="HA13" i="1"/>
  <c r="D14" i="1"/>
  <c r="P14" i="1"/>
  <c r="Q14" i="1"/>
  <c r="T14" i="1"/>
  <c r="U14" i="1"/>
  <c r="H266" i="1"/>
  <c r="H254" i="1"/>
  <c r="I266" i="1"/>
  <c r="BC14" i="1"/>
  <c r="BD14" i="1"/>
  <c r="BE14" i="1"/>
  <c r="W266" i="1"/>
  <c r="R254" i="1"/>
  <c r="W254" i="1"/>
  <c r="CJ14" i="1"/>
  <c r="CK14" i="1"/>
  <c r="CL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B39" i="1"/>
  <c r="B40" i="1"/>
  <c r="B41" i="1"/>
  <c r="GM14" i="1"/>
  <c r="GR14" i="1"/>
  <c r="GS14" i="1"/>
  <c r="GT14" i="1"/>
  <c r="GU14" i="1"/>
  <c r="GV14" i="1"/>
  <c r="GW14" i="1"/>
  <c r="GX14" i="1"/>
  <c r="GY14" i="1"/>
  <c r="GZ14" i="1"/>
  <c r="HA14" i="1"/>
  <c r="D15" i="1"/>
  <c r="E15" i="1"/>
  <c r="H15" i="1"/>
  <c r="P15" i="1"/>
  <c r="Q15" i="1"/>
  <c r="T15" i="1"/>
  <c r="U15" i="1"/>
  <c r="W15" i="1"/>
  <c r="Y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BB15" i="1"/>
  <c r="H171" i="1"/>
  <c r="BC15" i="1"/>
  <c r="BD15" i="1"/>
  <c r="BE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X15" i="1"/>
  <c r="BY15" i="1"/>
  <c r="CA15" i="1"/>
  <c r="CI15" i="1"/>
  <c r="W267" i="1"/>
  <c r="CJ15" i="1"/>
  <c r="CK15" i="1"/>
  <c r="CL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B42" i="1"/>
  <c r="B43" i="1"/>
  <c r="B44" i="1"/>
  <c r="GM15" i="1"/>
  <c r="GS15" i="1"/>
  <c r="GU15" i="1"/>
  <c r="GW15" i="1"/>
  <c r="D16" i="1"/>
  <c r="E16" i="1"/>
  <c r="H16" i="1"/>
  <c r="K16" i="1"/>
  <c r="P16" i="1"/>
  <c r="Q16" i="1"/>
  <c r="T16" i="1"/>
  <c r="U16" i="1"/>
  <c r="W16" i="1"/>
  <c r="Y16" i="1"/>
  <c r="BT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GT16" i="1"/>
  <c r="GU16" i="1"/>
  <c r="GV16" i="1"/>
  <c r="GW16" i="1"/>
  <c r="GX16" i="1"/>
  <c r="GY16" i="1"/>
  <c r="GZ16" i="1"/>
  <c r="HA16" i="1"/>
  <c r="HB16" i="1"/>
  <c r="D17" i="1"/>
  <c r="E17" i="1"/>
  <c r="H17" i="1"/>
  <c r="P17" i="1"/>
  <c r="Q17" i="1"/>
  <c r="T17" i="1"/>
  <c r="U17" i="1"/>
  <c r="W17" i="1"/>
  <c r="Y17" i="1"/>
  <c r="AL17" i="1"/>
  <c r="AM17" i="1"/>
  <c r="AN17" i="1"/>
  <c r="AO17" i="1"/>
  <c r="AP17" i="1"/>
  <c r="AQ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I17" i="1"/>
  <c r="CJ17" i="1"/>
  <c r="CK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GS17" i="1"/>
  <c r="GT17" i="1"/>
  <c r="GU17" i="1"/>
  <c r="GV17" i="1"/>
  <c r="GW17" i="1"/>
  <c r="GX17" i="1"/>
  <c r="GY17" i="1"/>
  <c r="GZ17" i="1"/>
  <c r="HA17" i="1"/>
  <c r="HJ17" i="1"/>
  <c r="D18" i="1"/>
  <c r="E18" i="1"/>
  <c r="H18" i="1"/>
  <c r="P18" i="1"/>
  <c r="Q18" i="1"/>
  <c r="T18" i="1"/>
  <c r="U18" i="1"/>
  <c r="W18" i="1"/>
  <c r="Y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BB18" i="1"/>
  <c r="BD18" i="1"/>
  <c r="BE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E18" i="1"/>
  <c r="CI18" i="1"/>
  <c r="CJ18" i="1"/>
  <c r="CK18" i="1"/>
  <c r="GR18" i="1"/>
  <c r="GS18" i="1"/>
  <c r="GT18" i="1"/>
  <c r="GU18" i="1"/>
  <c r="GV18" i="1"/>
  <c r="GW18" i="1"/>
  <c r="GX18" i="1"/>
  <c r="GY18" i="1"/>
  <c r="GZ18" i="1"/>
  <c r="HA18" i="1"/>
  <c r="HF18" i="1"/>
  <c r="HH18" i="1"/>
  <c r="D19" i="1"/>
  <c r="E19" i="1"/>
  <c r="H19" i="1"/>
  <c r="P19" i="1"/>
  <c r="Q19" i="1"/>
  <c r="T19" i="1"/>
  <c r="U19" i="1"/>
  <c r="W19" i="1"/>
  <c r="Y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BB19" i="1"/>
  <c r="BD19" i="1"/>
  <c r="BE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I19" i="1"/>
  <c r="CJ19" i="1"/>
  <c r="CK19" i="1"/>
  <c r="GR19" i="1"/>
  <c r="GT19" i="1"/>
  <c r="GV19" i="1"/>
  <c r="GZ19" i="1"/>
  <c r="HA19" i="1"/>
  <c r="D20" i="1"/>
  <c r="E20" i="1"/>
  <c r="H20" i="1"/>
  <c r="P20" i="1"/>
  <c r="Q20" i="1"/>
  <c r="T20" i="1"/>
  <c r="U20" i="1"/>
  <c r="W20" i="1"/>
  <c r="Y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BB20" i="1"/>
  <c r="BD20" i="1"/>
  <c r="BE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I20" i="1"/>
  <c r="CJ20" i="1"/>
  <c r="CK20" i="1"/>
  <c r="GR20" i="1"/>
  <c r="GT20" i="1"/>
  <c r="GU20" i="1"/>
  <c r="GV20" i="1"/>
  <c r="GW20" i="1"/>
  <c r="GX20" i="1"/>
  <c r="GY20" i="1"/>
  <c r="GZ20" i="1"/>
  <c r="HA20" i="1"/>
  <c r="D21" i="1"/>
  <c r="E21" i="1"/>
  <c r="H21" i="1"/>
  <c r="P21" i="1"/>
  <c r="Q21" i="1"/>
  <c r="T21" i="1"/>
  <c r="U21" i="1"/>
  <c r="W21" i="1"/>
  <c r="Y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BB21" i="1"/>
  <c r="BD21" i="1"/>
  <c r="BE21" i="1"/>
  <c r="GR21" i="1"/>
  <c r="GT21" i="1"/>
  <c r="GU21" i="1"/>
  <c r="GV21" i="1"/>
  <c r="GW21" i="1"/>
  <c r="GX21" i="1"/>
  <c r="GY21" i="1"/>
  <c r="GZ21" i="1"/>
  <c r="HA21" i="1"/>
  <c r="D22" i="1"/>
  <c r="E22" i="1"/>
  <c r="H22" i="1"/>
  <c r="P22" i="1"/>
  <c r="Q22" i="1"/>
  <c r="T22" i="1"/>
  <c r="U22" i="1"/>
  <c r="W22" i="1"/>
  <c r="Y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I22" i="1"/>
  <c r="CK22" i="1"/>
  <c r="CL22" i="1"/>
  <c r="GR22" i="1"/>
  <c r="GS22" i="1"/>
  <c r="GT22" i="1"/>
  <c r="GU22" i="1"/>
  <c r="GV22" i="1"/>
  <c r="GW22" i="1"/>
  <c r="GX22" i="1"/>
  <c r="GY22" i="1"/>
  <c r="GZ22" i="1"/>
  <c r="HA22" i="1"/>
  <c r="D23" i="1"/>
  <c r="E23" i="1"/>
  <c r="H23" i="1"/>
  <c r="P23" i="1"/>
  <c r="Q23" i="1"/>
  <c r="T23" i="1"/>
  <c r="U23" i="1"/>
  <c r="W23" i="1"/>
  <c r="Y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BB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I23" i="1"/>
  <c r="CK23" i="1"/>
  <c r="CL23" i="1"/>
  <c r="GR23" i="1"/>
  <c r="GS23" i="1"/>
  <c r="GT23" i="1"/>
  <c r="GU23" i="1"/>
  <c r="GV23" i="1"/>
  <c r="GW23" i="1"/>
  <c r="GX23" i="1"/>
  <c r="GY23" i="1"/>
  <c r="GZ23" i="1"/>
  <c r="HA23" i="1"/>
  <c r="D24" i="1"/>
  <c r="E24" i="1"/>
  <c r="H24" i="1"/>
  <c r="P24" i="1"/>
  <c r="Q24" i="1"/>
  <c r="T24" i="1"/>
  <c r="U24" i="1"/>
  <c r="W24" i="1"/>
  <c r="Y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BB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I24" i="1"/>
  <c r="CK24" i="1"/>
  <c r="CL24" i="1"/>
  <c r="GR24" i="1"/>
  <c r="GS24" i="1"/>
  <c r="GT24" i="1"/>
  <c r="GU24" i="1"/>
  <c r="GV24" i="1"/>
  <c r="GW24" i="1"/>
  <c r="GX24" i="1"/>
  <c r="GY24" i="1"/>
  <c r="GZ24" i="1"/>
  <c r="HA24" i="1"/>
  <c r="D25" i="1"/>
  <c r="E25" i="1"/>
  <c r="H25" i="1"/>
  <c r="P25" i="1"/>
  <c r="Q25" i="1"/>
  <c r="T25" i="1"/>
  <c r="U25" i="1"/>
  <c r="W25" i="1"/>
  <c r="Y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BB25" i="1"/>
  <c r="GR25" i="1"/>
  <c r="GS25" i="1"/>
  <c r="GT25" i="1"/>
  <c r="GU25" i="1"/>
  <c r="GV25" i="1"/>
  <c r="GW25" i="1"/>
  <c r="GX25" i="1"/>
  <c r="GY25" i="1"/>
  <c r="GZ25" i="1"/>
  <c r="HA25" i="1"/>
  <c r="HC25" i="1"/>
  <c r="D26" i="1"/>
  <c r="E26" i="1"/>
  <c r="H26" i="1"/>
  <c r="P26" i="1"/>
  <c r="Q26" i="1"/>
  <c r="T26" i="1"/>
  <c r="U26" i="1"/>
  <c r="W26" i="1"/>
  <c r="Y26" i="1"/>
  <c r="GR26" i="1"/>
  <c r="GS26" i="1"/>
  <c r="GT26" i="1"/>
  <c r="GU26" i="1"/>
  <c r="GV26" i="1"/>
  <c r="GW26" i="1"/>
  <c r="GX26" i="1"/>
  <c r="GY26" i="1"/>
  <c r="GZ26" i="1"/>
  <c r="HA26" i="1"/>
  <c r="HC26" i="1"/>
  <c r="D27" i="1"/>
  <c r="E27" i="1"/>
  <c r="H27" i="1"/>
  <c r="P27" i="1"/>
  <c r="Q27" i="1"/>
  <c r="T27" i="1"/>
  <c r="U27" i="1"/>
  <c r="W27" i="1"/>
  <c r="X27" i="1"/>
  <c r="Y27" i="1"/>
  <c r="GR27" i="1"/>
  <c r="GS27" i="1"/>
  <c r="GT27" i="1"/>
  <c r="GU27" i="1"/>
  <c r="GV27" i="1"/>
  <c r="GW27" i="1"/>
  <c r="GX27" i="1"/>
  <c r="GY27" i="1"/>
  <c r="GZ27" i="1"/>
  <c r="HA27" i="1"/>
  <c r="HC27" i="1"/>
  <c r="D28" i="1"/>
  <c r="E28" i="1"/>
  <c r="H28" i="1"/>
  <c r="K28" i="1"/>
  <c r="P28" i="1"/>
  <c r="Q28" i="1"/>
  <c r="T28" i="1"/>
  <c r="U28" i="1"/>
  <c r="W28" i="1"/>
  <c r="X28" i="1"/>
  <c r="Y28" i="1"/>
  <c r="BW28" i="1"/>
  <c r="GO115" i="1"/>
  <c r="GP25" i="1"/>
  <c r="GR28" i="1"/>
  <c r="GS28" i="1"/>
  <c r="GT28" i="1"/>
  <c r="GU28" i="1"/>
  <c r="GV28" i="1"/>
  <c r="GW28" i="1"/>
  <c r="GX28" i="1"/>
  <c r="GY28" i="1"/>
  <c r="GZ28" i="1"/>
  <c r="HA28" i="1"/>
  <c r="HC28" i="1"/>
  <c r="D29" i="1"/>
  <c r="E29" i="1"/>
  <c r="H29" i="1"/>
  <c r="P29" i="1"/>
  <c r="Q29" i="1"/>
  <c r="T29" i="1"/>
  <c r="U29" i="1"/>
  <c r="W29" i="1"/>
  <c r="X29" i="1"/>
  <c r="Y29" i="1"/>
  <c r="GP26" i="1"/>
  <c r="GR29" i="1"/>
  <c r="GS29" i="1"/>
  <c r="GT29" i="1"/>
  <c r="GU29" i="1"/>
  <c r="GV29" i="1"/>
  <c r="GW29" i="1"/>
  <c r="GX29" i="1"/>
  <c r="GY29" i="1"/>
  <c r="GZ29" i="1"/>
  <c r="HA29" i="1"/>
  <c r="HC29" i="1"/>
  <c r="D30" i="1"/>
  <c r="E30" i="1"/>
  <c r="H30" i="1"/>
  <c r="P30" i="1"/>
  <c r="Q30" i="1"/>
  <c r="T30" i="1"/>
  <c r="U30" i="1"/>
  <c r="W30" i="1"/>
  <c r="X30" i="1"/>
  <c r="Y30" i="1"/>
  <c r="GR30" i="1"/>
  <c r="GS30" i="1"/>
  <c r="GT30" i="1"/>
  <c r="GU30" i="1"/>
  <c r="GV30" i="1"/>
  <c r="GW30" i="1"/>
  <c r="GX30" i="1"/>
  <c r="GY30" i="1"/>
  <c r="GZ30" i="1"/>
  <c r="HA30" i="1"/>
  <c r="HC30" i="1"/>
  <c r="D31" i="1"/>
  <c r="E31" i="1"/>
  <c r="H31" i="1"/>
  <c r="P31" i="1"/>
  <c r="Q31" i="1"/>
  <c r="T31" i="1"/>
  <c r="U31" i="1"/>
  <c r="W31" i="1"/>
  <c r="X31" i="1"/>
  <c r="Y31" i="1"/>
  <c r="GR31" i="1"/>
  <c r="GS31" i="1"/>
  <c r="GT31" i="1"/>
  <c r="GU31" i="1"/>
  <c r="GV31" i="1"/>
  <c r="GW31" i="1"/>
  <c r="GX31" i="1"/>
  <c r="GY31" i="1"/>
  <c r="GZ31" i="1"/>
  <c r="HA31" i="1"/>
  <c r="HC31" i="1"/>
  <c r="D32" i="1"/>
  <c r="E32" i="1"/>
  <c r="H32" i="1"/>
  <c r="P32" i="1"/>
  <c r="Q32" i="1"/>
  <c r="T32" i="1"/>
  <c r="U32" i="1"/>
  <c r="W32" i="1"/>
  <c r="X32" i="1"/>
  <c r="Y32" i="1"/>
  <c r="H172" i="1"/>
  <c r="H160" i="1"/>
  <c r="GR32" i="1"/>
  <c r="GS32" i="1"/>
  <c r="GT32" i="1"/>
  <c r="GU32" i="1"/>
  <c r="GV32" i="1"/>
  <c r="GW32" i="1"/>
  <c r="GX32" i="1"/>
  <c r="GY32" i="1"/>
  <c r="GZ32" i="1"/>
  <c r="HA32" i="1"/>
  <c r="HC32" i="1"/>
  <c r="D33" i="1"/>
  <c r="E33" i="1"/>
  <c r="H33" i="1"/>
  <c r="P33" i="1"/>
  <c r="Q33" i="1"/>
  <c r="T33" i="1"/>
  <c r="U33" i="1"/>
  <c r="W33" i="1"/>
  <c r="X33" i="1"/>
  <c r="Y33" i="1"/>
  <c r="H173" i="1"/>
  <c r="H161" i="1"/>
  <c r="GR33" i="1"/>
  <c r="GS33" i="1"/>
  <c r="GT33" i="1"/>
  <c r="GU33" i="1"/>
  <c r="GV33" i="1"/>
  <c r="GW33" i="1"/>
  <c r="GX33" i="1"/>
  <c r="GY33" i="1"/>
  <c r="GZ33" i="1"/>
  <c r="HA33" i="1"/>
  <c r="HC33" i="1"/>
  <c r="D34" i="1"/>
  <c r="E34" i="1"/>
  <c r="H34" i="1"/>
  <c r="P34" i="1"/>
  <c r="Q34" i="1"/>
  <c r="T34" i="1"/>
  <c r="U34" i="1"/>
  <c r="W34" i="1"/>
  <c r="X34" i="1"/>
  <c r="Y34" i="1"/>
  <c r="GR34" i="1"/>
  <c r="GS34" i="1"/>
  <c r="GT34" i="1"/>
  <c r="GU34" i="1"/>
  <c r="GV34" i="1"/>
  <c r="GW34" i="1"/>
  <c r="GX34" i="1"/>
  <c r="GY34" i="1"/>
  <c r="GZ34" i="1"/>
  <c r="HA34" i="1"/>
  <c r="HC34" i="1"/>
  <c r="D35" i="1"/>
  <c r="E35" i="1"/>
  <c r="H35" i="1"/>
  <c r="P35" i="1"/>
  <c r="Q35" i="1"/>
  <c r="T35" i="1"/>
  <c r="U35" i="1"/>
  <c r="W35" i="1"/>
  <c r="X35" i="1"/>
  <c r="Y35" i="1"/>
  <c r="GR35" i="1"/>
  <c r="GS35" i="1"/>
  <c r="GT35" i="1"/>
  <c r="GU35" i="1"/>
  <c r="GV35" i="1"/>
  <c r="GW35" i="1"/>
  <c r="GX35" i="1"/>
  <c r="GY35" i="1"/>
  <c r="GZ35" i="1"/>
  <c r="HA35" i="1"/>
  <c r="HC35" i="1"/>
  <c r="D36" i="1"/>
  <c r="E36" i="1"/>
  <c r="H36" i="1"/>
  <c r="P36" i="1"/>
  <c r="Q36" i="1"/>
  <c r="T36" i="1"/>
  <c r="U36" i="1"/>
  <c r="W36" i="1"/>
  <c r="X36" i="1"/>
  <c r="Y36" i="1"/>
  <c r="AE36" i="1"/>
  <c r="GR36" i="1"/>
  <c r="GS36" i="1"/>
  <c r="GT36" i="1"/>
  <c r="GU36" i="1"/>
  <c r="GV36" i="1"/>
  <c r="GW36" i="1"/>
  <c r="GX36" i="1"/>
  <c r="GY36" i="1"/>
  <c r="GZ36" i="1"/>
  <c r="HA36" i="1"/>
  <c r="HC36" i="1"/>
  <c r="HH36" i="1"/>
  <c r="HI36" i="1"/>
  <c r="HJ36" i="1"/>
  <c r="D37" i="1"/>
  <c r="E37" i="1"/>
  <c r="H37" i="1"/>
  <c r="P37" i="1"/>
  <c r="Q37" i="1"/>
  <c r="T37" i="1"/>
  <c r="U37" i="1"/>
  <c r="W37" i="1"/>
  <c r="X37" i="1"/>
  <c r="Y37" i="1"/>
  <c r="AE37" i="1"/>
  <c r="GR37" i="1"/>
  <c r="GS37" i="1"/>
  <c r="GT37" i="1"/>
  <c r="GU37" i="1"/>
  <c r="GV37" i="1"/>
  <c r="GW37" i="1"/>
  <c r="GX37" i="1"/>
  <c r="GY37" i="1"/>
  <c r="GZ37" i="1"/>
  <c r="HA37" i="1"/>
  <c r="HC37" i="1"/>
  <c r="HH37" i="1"/>
  <c r="HI37" i="1"/>
  <c r="HJ37" i="1"/>
  <c r="D38" i="1"/>
  <c r="E38" i="1"/>
  <c r="H38" i="1"/>
  <c r="I38" i="1"/>
  <c r="J38" i="1"/>
  <c r="P38" i="1"/>
  <c r="Q38" i="1"/>
  <c r="T38" i="1"/>
  <c r="U38" i="1"/>
  <c r="W38" i="1"/>
  <c r="X38" i="1"/>
  <c r="Y38" i="1"/>
  <c r="AE38" i="1"/>
  <c r="GR38" i="1"/>
  <c r="GS38" i="1"/>
  <c r="GT38" i="1"/>
  <c r="GU38" i="1"/>
  <c r="GV38" i="1"/>
  <c r="GW38" i="1"/>
  <c r="GX38" i="1"/>
  <c r="GY38" i="1"/>
  <c r="GZ38" i="1"/>
  <c r="HA38" i="1"/>
  <c r="HC38" i="1"/>
  <c r="HH38" i="1"/>
  <c r="HI38" i="1"/>
  <c r="HJ38" i="1"/>
  <c r="D39" i="1"/>
  <c r="E39" i="1"/>
  <c r="H39" i="1"/>
  <c r="I39" i="1"/>
  <c r="J39" i="1"/>
  <c r="P39" i="1"/>
  <c r="Q39" i="1"/>
  <c r="T39" i="1"/>
  <c r="U39" i="1"/>
  <c r="W39" i="1"/>
  <c r="X39" i="1"/>
  <c r="Y39" i="1"/>
  <c r="AE39" i="1"/>
  <c r="GR39" i="1"/>
  <c r="GS39" i="1"/>
  <c r="GT39" i="1"/>
  <c r="GU39" i="1"/>
  <c r="GV39" i="1"/>
  <c r="GW39" i="1"/>
  <c r="GX39" i="1"/>
  <c r="GY39" i="1"/>
  <c r="GZ39" i="1"/>
  <c r="HA39" i="1"/>
  <c r="HC39" i="1"/>
  <c r="HH39" i="1"/>
  <c r="HI39" i="1"/>
  <c r="HJ39" i="1"/>
  <c r="D40" i="1"/>
  <c r="E40" i="1"/>
  <c r="H40" i="1"/>
  <c r="I40" i="1"/>
  <c r="J40" i="1"/>
  <c r="K40" i="1"/>
  <c r="P40" i="1"/>
  <c r="Q40" i="1"/>
  <c r="T40" i="1"/>
  <c r="U40" i="1"/>
  <c r="W40" i="1"/>
  <c r="X40" i="1"/>
  <c r="Y40" i="1"/>
  <c r="AE40" i="1"/>
  <c r="BP40" i="1"/>
  <c r="GR40" i="1"/>
  <c r="GS40" i="1"/>
  <c r="GT40" i="1"/>
  <c r="GU40" i="1"/>
  <c r="GV40" i="1"/>
  <c r="GW40" i="1"/>
  <c r="GX40" i="1"/>
  <c r="GY40" i="1"/>
  <c r="GZ40" i="1"/>
  <c r="HA40" i="1"/>
  <c r="HC40" i="1"/>
  <c r="HH40" i="1"/>
  <c r="HI40" i="1"/>
  <c r="HJ40" i="1"/>
  <c r="D41" i="1"/>
  <c r="E41" i="1"/>
  <c r="H41" i="1"/>
  <c r="I41" i="1"/>
  <c r="J41" i="1"/>
  <c r="P41" i="1"/>
  <c r="Q41" i="1"/>
  <c r="T41" i="1"/>
  <c r="U41" i="1"/>
  <c r="W41" i="1"/>
  <c r="X41" i="1"/>
  <c r="Y41" i="1"/>
  <c r="AE41" i="1"/>
  <c r="BP41" i="1"/>
  <c r="GR41" i="1"/>
  <c r="GS41" i="1"/>
  <c r="GT41" i="1"/>
  <c r="GU41" i="1"/>
  <c r="GV41" i="1"/>
  <c r="GW41" i="1"/>
  <c r="GX41" i="1"/>
  <c r="GY41" i="1"/>
  <c r="GZ41" i="1"/>
  <c r="HA41" i="1"/>
  <c r="HC41" i="1"/>
  <c r="HH41" i="1"/>
  <c r="HI41" i="1"/>
  <c r="HJ41" i="1"/>
  <c r="D42" i="1"/>
  <c r="E42" i="1"/>
  <c r="H42" i="1"/>
  <c r="I42" i="1"/>
  <c r="J42" i="1"/>
  <c r="P42" i="1"/>
  <c r="Q42" i="1"/>
  <c r="T42" i="1"/>
  <c r="U42" i="1"/>
  <c r="W42" i="1"/>
  <c r="X42" i="1"/>
  <c r="Y42" i="1"/>
  <c r="AE42" i="1"/>
  <c r="BP42" i="1"/>
  <c r="GR42" i="1"/>
  <c r="GS42" i="1"/>
  <c r="GT42" i="1"/>
  <c r="GU42" i="1"/>
  <c r="GV42" i="1"/>
  <c r="GW42" i="1"/>
  <c r="GX42" i="1"/>
  <c r="GY42" i="1"/>
  <c r="GZ42" i="1"/>
  <c r="HA42" i="1"/>
  <c r="HC42" i="1"/>
  <c r="HH42" i="1"/>
  <c r="HI42" i="1"/>
  <c r="HJ42" i="1"/>
  <c r="D43" i="1"/>
  <c r="E43" i="1"/>
  <c r="H43" i="1"/>
  <c r="I43" i="1"/>
  <c r="J43" i="1"/>
  <c r="P43" i="1"/>
  <c r="Q43" i="1"/>
  <c r="T43" i="1"/>
  <c r="U43" i="1"/>
  <c r="W43" i="1"/>
  <c r="X43" i="1"/>
  <c r="Y43" i="1"/>
  <c r="AE43" i="1"/>
  <c r="GR43" i="1"/>
  <c r="GS43" i="1"/>
  <c r="GT43" i="1"/>
  <c r="GU43" i="1"/>
  <c r="GV43" i="1"/>
  <c r="GW43" i="1"/>
  <c r="GX43" i="1"/>
  <c r="GY43" i="1"/>
  <c r="GZ43" i="1"/>
  <c r="HA43" i="1"/>
  <c r="HC43" i="1"/>
  <c r="HH43" i="1"/>
  <c r="HI43" i="1"/>
  <c r="HJ43" i="1"/>
  <c r="D44" i="1"/>
  <c r="E44" i="1"/>
  <c r="H44" i="1"/>
  <c r="I44" i="1"/>
  <c r="J44" i="1"/>
  <c r="P44" i="1"/>
  <c r="Q44" i="1"/>
  <c r="T44" i="1"/>
  <c r="U44" i="1"/>
  <c r="W44" i="1"/>
  <c r="X44" i="1"/>
  <c r="Y44" i="1"/>
  <c r="AE44" i="1"/>
  <c r="GR44" i="1"/>
  <c r="GS44" i="1"/>
  <c r="GT44" i="1"/>
  <c r="GU44" i="1"/>
  <c r="GV44" i="1"/>
  <c r="GW44" i="1"/>
  <c r="GX44" i="1"/>
  <c r="GY44" i="1"/>
  <c r="GZ44" i="1"/>
  <c r="HA44" i="1"/>
  <c r="HC44" i="1"/>
  <c r="HH44" i="1"/>
  <c r="HI44" i="1"/>
  <c r="HJ44" i="1"/>
  <c r="D45" i="1"/>
  <c r="E45" i="1"/>
  <c r="H45" i="1"/>
  <c r="I45" i="1"/>
  <c r="J45" i="1"/>
  <c r="P45" i="1"/>
  <c r="Q45" i="1"/>
  <c r="T45" i="1"/>
  <c r="U45" i="1"/>
  <c r="W45" i="1"/>
  <c r="X45" i="1"/>
  <c r="Y45" i="1"/>
  <c r="AC45" i="1"/>
  <c r="AE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C45" i="1"/>
  <c r="HH45" i="1"/>
  <c r="HI45" i="1"/>
  <c r="HJ45" i="1"/>
  <c r="D46" i="1"/>
  <c r="E46" i="1"/>
  <c r="H46" i="1"/>
  <c r="I46" i="1"/>
  <c r="J46" i="1"/>
  <c r="P46" i="1"/>
  <c r="Q46" i="1"/>
  <c r="T46" i="1"/>
  <c r="U46" i="1"/>
  <c r="W46" i="1"/>
  <c r="X46" i="1"/>
  <c r="Y46" i="1"/>
  <c r="AC46" i="1"/>
  <c r="AE46" i="1"/>
  <c r="AL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C46" i="1"/>
  <c r="HH46" i="1"/>
  <c r="HI46" i="1"/>
  <c r="HJ46" i="1"/>
  <c r="D47" i="1"/>
  <c r="E47" i="1"/>
  <c r="H47" i="1"/>
  <c r="I47" i="1"/>
  <c r="J47" i="1"/>
  <c r="P47" i="1"/>
  <c r="Q47" i="1"/>
  <c r="T47" i="1"/>
  <c r="U47" i="1"/>
  <c r="W47" i="1"/>
  <c r="X47" i="1"/>
  <c r="Y47" i="1"/>
  <c r="AC47" i="1"/>
  <c r="AE47" i="1"/>
  <c r="AL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C47" i="1"/>
  <c r="HH47" i="1"/>
  <c r="HI47" i="1"/>
  <c r="HJ47" i="1"/>
  <c r="D48" i="1"/>
  <c r="E48" i="1"/>
  <c r="H48" i="1"/>
  <c r="I48" i="1"/>
  <c r="J48" i="1"/>
  <c r="P48" i="1"/>
  <c r="Q48" i="1"/>
  <c r="T48" i="1"/>
  <c r="U48" i="1"/>
  <c r="W48" i="1"/>
  <c r="X48" i="1"/>
  <c r="Y48" i="1"/>
  <c r="AC48" i="1"/>
  <c r="AE48" i="1"/>
  <c r="AL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C48" i="1"/>
  <c r="HH48" i="1"/>
  <c r="HI48" i="1"/>
  <c r="HJ48" i="1"/>
  <c r="D49" i="1"/>
  <c r="E49" i="1"/>
  <c r="H49" i="1"/>
  <c r="I49" i="1"/>
  <c r="J49" i="1"/>
  <c r="P49" i="1"/>
  <c r="Q49" i="1"/>
  <c r="T49" i="1"/>
  <c r="U49" i="1"/>
  <c r="W49" i="1"/>
  <c r="X49" i="1"/>
  <c r="Y49" i="1"/>
  <c r="AE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C49" i="1"/>
  <c r="HH49" i="1"/>
  <c r="HI49" i="1"/>
  <c r="HJ49" i="1"/>
  <c r="D50" i="1"/>
  <c r="E50" i="1"/>
  <c r="H50" i="1"/>
  <c r="I50" i="1"/>
  <c r="J50" i="1"/>
  <c r="P50" i="1"/>
  <c r="Q50" i="1"/>
  <c r="T50" i="1"/>
  <c r="U50" i="1"/>
  <c r="W50" i="1"/>
  <c r="X50" i="1"/>
  <c r="Y50" i="1"/>
  <c r="AC50" i="1"/>
  <c r="AE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C50" i="1"/>
  <c r="HH50" i="1"/>
  <c r="HI50" i="1"/>
  <c r="HJ50" i="1"/>
  <c r="D51" i="1"/>
  <c r="E51" i="1"/>
  <c r="H51" i="1"/>
  <c r="I51" i="1"/>
  <c r="J51" i="1"/>
  <c r="P51" i="1"/>
  <c r="Q51" i="1"/>
  <c r="T51" i="1"/>
  <c r="U51" i="1"/>
  <c r="W51" i="1"/>
  <c r="X51" i="1"/>
  <c r="Y51" i="1"/>
  <c r="AE51" i="1"/>
  <c r="BJ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H51" i="1"/>
  <c r="HI51" i="1"/>
  <c r="HJ51" i="1"/>
  <c r="D52" i="1"/>
  <c r="E52" i="1"/>
  <c r="H52" i="1"/>
  <c r="I52" i="1"/>
  <c r="J52" i="1"/>
  <c r="K52" i="1"/>
  <c r="P52" i="1"/>
  <c r="Q52" i="1"/>
  <c r="T52" i="1"/>
  <c r="U52" i="1"/>
  <c r="W52" i="1"/>
  <c r="X52" i="1"/>
  <c r="Y52" i="1"/>
  <c r="AE52" i="1"/>
  <c r="BL52" i="1"/>
  <c r="BM52" i="1"/>
  <c r="BN52" i="1"/>
  <c r="B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H52" i="1"/>
  <c r="HI52" i="1"/>
  <c r="HJ52" i="1"/>
  <c r="D53" i="1"/>
  <c r="E53" i="1"/>
  <c r="H53" i="1"/>
  <c r="I53" i="1"/>
  <c r="J53" i="1"/>
  <c r="P53" i="1"/>
  <c r="Q53" i="1"/>
  <c r="T53" i="1"/>
  <c r="U53" i="1"/>
  <c r="W53" i="1"/>
  <c r="X53" i="1"/>
  <c r="Y53" i="1"/>
  <c r="AE53" i="1"/>
  <c r="GP53" i="1"/>
  <c r="GQ53" i="1"/>
  <c r="GR53" i="1"/>
  <c r="GS53" i="1"/>
  <c r="GT53" i="1"/>
  <c r="GU53" i="1"/>
  <c r="GW53" i="1"/>
  <c r="GX53" i="1"/>
  <c r="GY53" i="1"/>
  <c r="HA53" i="1"/>
  <c r="HB53" i="1"/>
  <c r="HC53" i="1"/>
  <c r="HH53" i="1"/>
  <c r="HI53" i="1"/>
  <c r="HJ53" i="1"/>
  <c r="D54" i="1"/>
  <c r="E54" i="1"/>
  <c r="H54" i="1"/>
  <c r="I54" i="1"/>
  <c r="J54" i="1"/>
  <c r="P54" i="1"/>
  <c r="Q54" i="1"/>
  <c r="T54" i="1"/>
  <c r="U54" i="1"/>
  <c r="W54" i="1"/>
  <c r="X54" i="1"/>
  <c r="Y54" i="1"/>
  <c r="AE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H54" i="1"/>
  <c r="HI54" i="1"/>
  <c r="HJ54" i="1"/>
  <c r="D55" i="1"/>
  <c r="E55" i="1"/>
  <c r="H55" i="1"/>
  <c r="I55" i="1"/>
  <c r="J55" i="1"/>
  <c r="P55" i="1"/>
  <c r="Q55" i="1"/>
  <c r="T55" i="1"/>
  <c r="U55" i="1"/>
  <c r="W55" i="1"/>
  <c r="X55" i="1"/>
  <c r="Y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H55" i="1"/>
  <c r="HI55" i="1"/>
  <c r="HJ55" i="1"/>
  <c r="D56" i="1"/>
  <c r="E56" i="1"/>
  <c r="H56" i="1"/>
  <c r="I56" i="1"/>
  <c r="J56" i="1"/>
  <c r="P56" i="1"/>
  <c r="Q56" i="1"/>
  <c r="T56" i="1"/>
  <c r="U56" i="1"/>
  <c r="W56" i="1"/>
  <c r="X56" i="1"/>
  <c r="Y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H56" i="1"/>
  <c r="HI56" i="1"/>
  <c r="HJ56" i="1"/>
  <c r="D57" i="1"/>
  <c r="E57" i="1"/>
  <c r="H57" i="1"/>
  <c r="I57" i="1"/>
  <c r="J57" i="1"/>
  <c r="P57" i="1"/>
  <c r="Q57" i="1"/>
  <c r="T57" i="1"/>
  <c r="U57" i="1"/>
  <c r="W57" i="1"/>
  <c r="X57" i="1"/>
  <c r="Y57" i="1"/>
  <c r="GP57" i="1"/>
  <c r="GQ57" i="1"/>
  <c r="GR57" i="1"/>
  <c r="GS57" i="1"/>
  <c r="GT57" i="1"/>
  <c r="GU57" i="1"/>
  <c r="GY57" i="1"/>
  <c r="HE57" i="1"/>
  <c r="HH57" i="1"/>
  <c r="HI57" i="1"/>
  <c r="HJ57" i="1"/>
  <c r="D58" i="1"/>
  <c r="E58" i="1"/>
  <c r="H58" i="1"/>
  <c r="I58" i="1"/>
  <c r="J58" i="1"/>
  <c r="P58" i="1"/>
  <c r="Q58" i="1"/>
  <c r="T58" i="1"/>
  <c r="U58" i="1"/>
  <c r="W58" i="1"/>
  <c r="X58" i="1"/>
  <c r="Y58" i="1"/>
  <c r="AH58" i="1"/>
  <c r="AI58" i="1"/>
  <c r="AJ58" i="1"/>
  <c r="AK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H58" i="1"/>
  <c r="HI58" i="1"/>
  <c r="HJ58" i="1"/>
  <c r="D59" i="1"/>
  <c r="E59" i="1"/>
  <c r="H59" i="1"/>
  <c r="I59" i="1"/>
  <c r="J59" i="1"/>
  <c r="P59" i="1"/>
  <c r="Q59" i="1"/>
  <c r="T59" i="1"/>
  <c r="U59" i="1"/>
  <c r="W59" i="1"/>
  <c r="X59" i="1"/>
  <c r="Y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H59" i="1"/>
  <c r="HI59" i="1"/>
  <c r="HJ59" i="1"/>
  <c r="D60" i="1"/>
  <c r="E60" i="1"/>
  <c r="H60" i="1"/>
  <c r="I60" i="1"/>
  <c r="J60" i="1"/>
  <c r="P60" i="1"/>
  <c r="Q60" i="1"/>
  <c r="T60" i="1"/>
  <c r="U60" i="1"/>
  <c r="W60" i="1"/>
  <c r="X60" i="1"/>
  <c r="Y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H60" i="1"/>
  <c r="HI60" i="1"/>
  <c r="HJ60" i="1"/>
  <c r="D61" i="1"/>
  <c r="E61" i="1"/>
  <c r="H61" i="1"/>
  <c r="I61" i="1"/>
  <c r="J61" i="1"/>
  <c r="P61" i="1"/>
  <c r="Q61" i="1"/>
  <c r="T61" i="1"/>
  <c r="U61" i="1"/>
  <c r="W61" i="1"/>
  <c r="X61" i="1"/>
  <c r="Y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H61" i="1"/>
  <c r="HI61" i="1"/>
  <c r="HJ61" i="1"/>
  <c r="D62" i="1"/>
  <c r="E62" i="1"/>
  <c r="H62" i="1"/>
  <c r="I62" i="1"/>
  <c r="J62" i="1"/>
  <c r="P62" i="1"/>
  <c r="Q62" i="1"/>
  <c r="T62" i="1"/>
  <c r="U62" i="1"/>
  <c r="W62" i="1"/>
  <c r="X62" i="1"/>
  <c r="Y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H62" i="1"/>
  <c r="HI62" i="1"/>
  <c r="HJ62" i="1"/>
  <c r="D63" i="1"/>
  <c r="E63" i="1"/>
  <c r="F63" i="1"/>
  <c r="G63" i="1"/>
  <c r="H63" i="1"/>
  <c r="I63" i="1"/>
  <c r="J63" i="1"/>
  <c r="M63" i="1"/>
  <c r="N63" i="1"/>
  <c r="O63" i="1"/>
  <c r="P63" i="1"/>
  <c r="Q63" i="1"/>
  <c r="T63" i="1"/>
  <c r="U63" i="1"/>
  <c r="W63" i="1"/>
  <c r="X63" i="1"/>
  <c r="Y63" i="1"/>
  <c r="BM63" i="1"/>
  <c r="BN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H63" i="1"/>
  <c r="HI63" i="1"/>
  <c r="HJ63" i="1"/>
  <c r="D64" i="1"/>
  <c r="E64" i="1"/>
  <c r="F64" i="1"/>
  <c r="G64" i="1"/>
  <c r="H64" i="1"/>
  <c r="I64" i="1"/>
  <c r="J64" i="1"/>
  <c r="K64" i="1"/>
  <c r="M64" i="1"/>
  <c r="N64" i="1"/>
  <c r="O64" i="1"/>
  <c r="P64" i="1"/>
  <c r="Q64" i="1"/>
  <c r="T64" i="1"/>
  <c r="U64" i="1"/>
  <c r="W64" i="1"/>
  <c r="X64" i="1"/>
  <c r="Y64" i="1"/>
  <c r="BM64" i="1"/>
  <c r="BN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H64" i="1"/>
  <c r="HI64" i="1"/>
  <c r="HJ64" i="1"/>
  <c r="D65" i="1"/>
  <c r="E65" i="1"/>
  <c r="F65" i="1"/>
  <c r="G65" i="1"/>
  <c r="H65" i="1"/>
  <c r="I65" i="1"/>
  <c r="J65" i="1"/>
  <c r="M65" i="1"/>
  <c r="N65" i="1"/>
  <c r="O65" i="1"/>
  <c r="P65" i="1"/>
  <c r="Q65" i="1"/>
  <c r="T65" i="1"/>
  <c r="U65" i="1"/>
  <c r="W65" i="1"/>
  <c r="X65" i="1"/>
  <c r="Y65" i="1"/>
  <c r="BM65" i="1"/>
  <c r="BN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H65" i="1"/>
  <c r="HI65" i="1"/>
  <c r="HJ65" i="1"/>
  <c r="D66" i="1"/>
  <c r="E66" i="1"/>
  <c r="F66" i="1"/>
  <c r="G66" i="1"/>
  <c r="H66" i="1"/>
  <c r="I66" i="1"/>
  <c r="J66" i="1"/>
  <c r="M66" i="1"/>
  <c r="N66" i="1"/>
  <c r="O66" i="1"/>
  <c r="P66" i="1"/>
  <c r="Q66" i="1"/>
  <c r="T66" i="1"/>
  <c r="U66" i="1"/>
  <c r="W66" i="1"/>
  <c r="X66" i="1"/>
  <c r="Y66" i="1"/>
  <c r="BM66" i="1"/>
  <c r="BN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H66" i="1"/>
  <c r="HI66" i="1"/>
  <c r="HJ66" i="1"/>
  <c r="D67" i="1"/>
  <c r="E67" i="1"/>
  <c r="F67" i="1"/>
  <c r="G67" i="1"/>
  <c r="H67" i="1"/>
  <c r="I67" i="1"/>
  <c r="J67" i="1"/>
  <c r="M67" i="1"/>
  <c r="N67" i="1"/>
  <c r="O67" i="1"/>
  <c r="P67" i="1"/>
  <c r="Q67" i="1"/>
  <c r="T67" i="1"/>
  <c r="U67" i="1"/>
  <c r="W67" i="1"/>
  <c r="X67" i="1"/>
  <c r="Y67" i="1"/>
  <c r="AI67" i="1"/>
  <c r="AJ67" i="1"/>
  <c r="BK67" i="1"/>
  <c r="BM67" i="1"/>
  <c r="BN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H67" i="1"/>
  <c r="HI67" i="1"/>
  <c r="HJ67" i="1"/>
  <c r="D68" i="1"/>
  <c r="E68" i="1"/>
  <c r="F68" i="1"/>
  <c r="G68" i="1"/>
  <c r="H68" i="1"/>
  <c r="I68" i="1"/>
  <c r="J68" i="1"/>
  <c r="M68" i="1"/>
  <c r="N68" i="1"/>
  <c r="O68" i="1"/>
  <c r="P68" i="1"/>
  <c r="Q68" i="1"/>
  <c r="T68" i="1"/>
  <c r="U68" i="1"/>
  <c r="W68" i="1"/>
  <c r="X68" i="1"/>
  <c r="Y68" i="1"/>
  <c r="AI68" i="1"/>
  <c r="AJ68" i="1"/>
  <c r="BK68" i="1"/>
  <c r="BL68" i="1"/>
  <c r="BM68" i="1"/>
  <c r="BN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H68" i="1"/>
  <c r="HI68" i="1"/>
  <c r="HJ68" i="1"/>
  <c r="D69" i="1"/>
  <c r="E69" i="1"/>
  <c r="F69" i="1"/>
  <c r="G69" i="1"/>
  <c r="H69" i="1"/>
  <c r="I69" i="1"/>
  <c r="J69" i="1"/>
  <c r="M69" i="1"/>
  <c r="N69" i="1"/>
  <c r="O69" i="1"/>
  <c r="P69" i="1"/>
  <c r="Q69" i="1"/>
  <c r="T69" i="1"/>
  <c r="U69" i="1"/>
  <c r="W69" i="1"/>
  <c r="X69" i="1"/>
  <c r="Y69" i="1"/>
  <c r="AI69" i="1"/>
  <c r="AJ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H69" i="1"/>
  <c r="HI69" i="1"/>
  <c r="HJ69" i="1"/>
  <c r="D70" i="1"/>
  <c r="E70" i="1"/>
  <c r="F70" i="1"/>
  <c r="G70" i="1"/>
  <c r="H70" i="1"/>
  <c r="I70" i="1"/>
  <c r="J70" i="1"/>
  <c r="M70" i="1"/>
  <c r="N70" i="1"/>
  <c r="O70" i="1"/>
  <c r="P70" i="1"/>
  <c r="Q70" i="1"/>
  <c r="T70" i="1"/>
  <c r="U70" i="1"/>
  <c r="W70" i="1"/>
  <c r="X70" i="1"/>
  <c r="Y70" i="1"/>
  <c r="AI70" i="1"/>
  <c r="AJ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H70" i="1"/>
  <c r="HI70" i="1"/>
  <c r="HJ70" i="1"/>
  <c r="D71" i="1"/>
  <c r="E71" i="1"/>
  <c r="F71" i="1"/>
  <c r="G71" i="1"/>
  <c r="H71" i="1"/>
  <c r="I71" i="1"/>
  <c r="J71" i="1"/>
  <c r="M71" i="1"/>
  <c r="N71" i="1"/>
  <c r="O71" i="1"/>
  <c r="P71" i="1"/>
  <c r="Q71" i="1"/>
  <c r="T71" i="1"/>
  <c r="U71" i="1"/>
  <c r="W71" i="1"/>
  <c r="X71" i="1"/>
  <c r="Y71" i="1"/>
  <c r="AI71" i="1"/>
  <c r="AJ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H71" i="1"/>
  <c r="HI71" i="1"/>
  <c r="HJ71" i="1"/>
  <c r="D72" i="1"/>
  <c r="E72" i="1"/>
  <c r="F72" i="1"/>
  <c r="G72" i="1"/>
  <c r="H72" i="1"/>
  <c r="I72" i="1"/>
  <c r="J72" i="1"/>
  <c r="M72" i="1"/>
  <c r="N72" i="1"/>
  <c r="O72" i="1"/>
  <c r="P72" i="1"/>
  <c r="Q72" i="1"/>
  <c r="T72" i="1"/>
  <c r="U72" i="1"/>
  <c r="W72" i="1"/>
  <c r="X72" i="1"/>
  <c r="Y72" i="1"/>
  <c r="AG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H72" i="1"/>
  <c r="HI72" i="1"/>
  <c r="HJ72" i="1"/>
  <c r="D73" i="1"/>
  <c r="E73" i="1"/>
  <c r="F73" i="1"/>
  <c r="G73" i="1"/>
  <c r="H73" i="1"/>
  <c r="I73" i="1"/>
  <c r="J73" i="1"/>
  <c r="M73" i="1"/>
  <c r="N73" i="1"/>
  <c r="O73" i="1"/>
  <c r="P73" i="1"/>
  <c r="Q73" i="1"/>
  <c r="T73" i="1"/>
  <c r="U73" i="1"/>
  <c r="W73" i="1"/>
  <c r="X73" i="1"/>
  <c r="Y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H73" i="1"/>
  <c r="HI73" i="1"/>
  <c r="HJ73" i="1"/>
  <c r="D74" i="1"/>
  <c r="E74" i="1"/>
  <c r="F74" i="1"/>
  <c r="G74" i="1"/>
  <c r="H74" i="1"/>
  <c r="I74" i="1"/>
  <c r="J74" i="1"/>
  <c r="M74" i="1"/>
  <c r="N74" i="1"/>
  <c r="O74" i="1"/>
  <c r="P74" i="1"/>
  <c r="Q74" i="1"/>
  <c r="T74" i="1"/>
  <c r="U74" i="1"/>
  <c r="W74" i="1"/>
  <c r="X74" i="1"/>
  <c r="Y74" i="1"/>
  <c r="AG74" i="1"/>
  <c r="AH74" i="1"/>
  <c r="AI74" i="1"/>
  <c r="AJ74" i="1"/>
  <c r="AK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D75" i="1"/>
  <c r="E75" i="1"/>
  <c r="F75" i="1"/>
  <c r="G75" i="1"/>
  <c r="H75" i="1"/>
  <c r="I75" i="1"/>
  <c r="J75" i="1"/>
  <c r="M75" i="1"/>
  <c r="N75" i="1"/>
  <c r="O75" i="1"/>
  <c r="P75" i="1"/>
  <c r="Q75" i="1"/>
  <c r="T75" i="1"/>
  <c r="U75" i="1"/>
  <c r="W75" i="1"/>
  <c r="X75" i="1"/>
  <c r="Y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D76" i="1"/>
  <c r="E76" i="1"/>
  <c r="F76" i="1"/>
  <c r="G76" i="1"/>
  <c r="H76" i="1"/>
  <c r="I76" i="1"/>
  <c r="J76" i="1"/>
  <c r="K76" i="1"/>
  <c r="M76" i="1"/>
  <c r="N76" i="1"/>
  <c r="O76" i="1"/>
  <c r="P76" i="1"/>
  <c r="Q76" i="1"/>
  <c r="T76" i="1"/>
  <c r="U76" i="1"/>
  <c r="W76" i="1"/>
  <c r="X76" i="1"/>
  <c r="Y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D77" i="1"/>
  <c r="E77" i="1"/>
  <c r="F77" i="1"/>
  <c r="G77" i="1"/>
  <c r="H77" i="1"/>
  <c r="I77" i="1"/>
  <c r="J77" i="1"/>
  <c r="M77" i="1"/>
  <c r="N77" i="1"/>
  <c r="O77" i="1"/>
  <c r="P77" i="1"/>
  <c r="Q77" i="1"/>
  <c r="T77" i="1"/>
  <c r="U77" i="1"/>
  <c r="W77" i="1"/>
  <c r="X77" i="1"/>
  <c r="Y77" i="1"/>
  <c r="AG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I77" i="1"/>
  <c r="HJ77" i="1"/>
  <c r="D78" i="1"/>
  <c r="E78" i="1"/>
  <c r="F78" i="1"/>
  <c r="G78" i="1"/>
  <c r="H78" i="1"/>
  <c r="I78" i="1"/>
  <c r="J78" i="1"/>
  <c r="M78" i="1"/>
  <c r="N78" i="1"/>
  <c r="O78" i="1"/>
  <c r="P78" i="1"/>
  <c r="Q78" i="1"/>
  <c r="T78" i="1"/>
  <c r="U78" i="1"/>
  <c r="W78" i="1"/>
  <c r="X78" i="1"/>
  <c r="Y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D79" i="1"/>
  <c r="E79" i="1"/>
  <c r="F79" i="1"/>
  <c r="G79" i="1"/>
  <c r="H79" i="1"/>
  <c r="I79" i="1"/>
  <c r="J79" i="1"/>
  <c r="M79" i="1"/>
  <c r="N79" i="1"/>
  <c r="O79" i="1"/>
  <c r="P79" i="1"/>
  <c r="Q79" i="1"/>
  <c r="T79" i="1"/>
  <c r="U79" i="1"/>
  <c r="W79" i="1"/>
  <c r="X79" i="1"/>
  <c r="Y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I79" i="1"/>
  <c r="D80" i="1"/>
  <c r="E80" i="1"/>
  <c r="F80" i="1"/>
  <c r="G80" i="1"/>
  <c r="H80" i="1"/>
  <c r="I80" i="1"/>
  <c r="J80" i="1"/>
  <c r="M80" i="1"/>
  <c r="N80" i="1"/>
  <c r="O80" i="1"/>
  <c r="P80" i="1"/>
  <c r="Q80" i="1"/>
  <c r="T80" i="1"/>
  <c r="U80" i="1"/>
  <c r="W80" i="1"/>
  <c r="X80" i="1"/>
  <c r="Y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D81" i="1"/>
  <c r="E81" i="1"/>
  <c r="F81" i="1"/>
  <c r="G81" i="1"/>
  <c r="H81" i="1"/>
  <c r="I81" i="1"/>
  <c r="J81" i="1"/>
  <c r="M81" i="1"/>
  <c r="N81" i="1"/>
  <c r="O81" i="1"/>
  <c r="P81" i="1"/>
  <c r="Q81" i="1"/>
  <c r="T81" i="1"/>
  <c r="U81" i="1"/>
  <c r="W81" i="1"/>
  <c r="X81" i="1"/>
  <c r="Y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D82" i="1"/>
  <c r="E82" i="1"/>
  <c r="F82" i="1"/>
  <c r="G82" i="1"/>
  <c r="H82" i="1"/>
  <c r="I82" i="1"/>
  <c r="J82" i="1"/>
  <c r="M82" i="1"/>
  <c r="N82" i="1"/>
  <c r="O82" i="1"/>
  <c r="P82" i="1"/>
  <c r="Q82" i="1"/>
  <c r="T82" i="1"/>
  <c r="U82" i="1"/>
  <c r="W82" i="1"/>
  <c r="X82" i="1"/>
  <c r="Y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D83" i="1"/>
  <c r="E83" i="1"/>
  <c r="F83" i="1"/>
  <c r="G83" i="1"/>
  <c r="H83" i="1"/>
  <c r="I83" i="1"/>
  <c r="J83" i="1"/>
  <c r="M83" i="1"/>
  <c r="N83" i="1"/>
  <c r="O83" i="1"/>
  <c r="P83" i="1"/>
  <c r="Q83" i="1"/>
  <c r="T83" i="1"/>
  <c r="U83" i="1"/>
  <c r="W83" i="1"/>
  <c r="X83" i="1"/>
  <c r="Y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D84" i="1"/>
  <c r="E84" i="1"/>
  <c r="F84" i="1"/>
  <c r="G84" i="1"/>
  <c r="H84" i="1"/>
  <c r="I84" i="1"/>
  <c r="J84" i="1"/>
  <c r="M84" i="1"/>
  <c r="N84" i="1"/>
  <c r="O84" i="1"/>
  <c r="P84" i="1"/>
  <c r="Q84" i="1"/>
  <c r="T84" i="1"/>
  <c r="U84" i="1"/>
  <c r="W84" i="1"/>
  <c r="X84" i="1"/>
  <c r="Y84" i="1"/>
  <c r="BN84" i="1"/>
  <c r="B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D85" i="1"/>
  <c r="E85" i="1"/>
  <c r="F85" i="1"/>
  <c r="G85" i="1"/>
  <c r="H85" i="1"/>
  <c r="I85" i="1"/>
  <c r="J85" i="1"/>
  <c r="M85" i="1"/>
  <c r="N85" i="1"/>
  <c r="O85" i="1"/>
  <c r="P85" i="1"/>
  <c r="Q85" i="1"/>
  <c r="T85" i="1"/>
  <c r="U85" i="1"/>
  <c r="W85" i="1"/>
  <c r="X85" i="1"/>
  <c r="Y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D86" i="1"/>
  <c r="E86" i="1"/>
  <c r="F86" i="1"/>
  <c r="G86" i="1"/>
  <c r="H86" i="1"/>
  <c r="I86" i="1"/>
  <c r="J86" i="1"/>
  <c r="M86" i="1"/>
  <c r="N86" i="1"/>
  <c r="O86" i="1"/>
  <c r="P86" i="1"/>
  <c r="Q86" i="1"/>
  <c r="T86" i="1"/>
  <c r="U86" i="1"/>
  <c r="W86" i="1"/>
  <c r="X86" i="1"/>
  <c r="Y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D87" i="1"/>
  <c r="E87" i="1"/>
  <c r="F87" i="1"/>
  <c r="G87" i="1"/>
  <c r="H87" i="1"/>
  <c r="I87" i="1"/>
  <c r="J87" i="1"/>
  <c r="M87" i="1"/>
  <c r="N87" i="1"/>
  <c r="O87" i="1"/>
  <c r="P87" i="1"/>
  <c r="Q87" i="1"/>
  <c r="T87" i="1"/>
  <c r="U87" i="1"/>
  <c r="W87" i="1"/>
  <c r="X87" i="1"/>
  <c r="Y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D88" i="1"/>
  <c r="E88" i="1"/>
  <c r="F88" i="1"/>
  <c r="G88" i="1"/>
  <c r="H88" i="1"/>
  <c r="I88" i="1"/>
  <c r="J88" i="1"/>
  <c r="K88" i="1"/>
  <c r="M88" i="1"/>
  <c r="N88" i="1"/>
  <c r="O88" i="1"/>
  <c r="P88" i="1"/>
  <c r="Q88" i="1"/>
  <c r="T88" i="1"/>
  <c r="U88" i="1"/>
  <c r="W88" i="1"/>
  <c r="X88" i="1"/>
  <c r="Y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D89" i="1"/>
  <c r="E89" i="1"/>
  <c r="F89" i="1"/>
  <c r="G89" i="1"/>
  <c r="H89" i="1"/>
  <c r="I89" i="1"/>
  <c r="J89" i="1"/>
  <c r="M89" i="1"/>
  <c r="N89" i="1"/>
  <c r="O89" i="1"/>
  <c r="P89" i="1"/>
  <c r="Q89" i="1"/>
  <c r="T89" i="1"/>
  <c r="U89" i="1"/>
  <c r="W89" i="1"/>
  <c r="X89" i="1"/>
  <c r="Y89" i="1"/>
  <c r="AJ89" i="1"/>
  <c r="AK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D90" i="1"/>
  <c r="E90" i="1"/>
  <c r="F90" i="1"/>
  <c r="G90" i="1"/>
  <c r="H90" i="1"/>
  <c r="I90" i="1"/>
  <c r="J90" i="1"/>
  <c r="M90" i="1"/>
  <c r="N90" i="1"/>
  <c r="O90" i="1"/>
  <c r="P90" i="1"/>
  <c r="Q90" i="1"/>
  <c r="T90" i="1"/>
  <c r="U90" i="1"/>
  <c r="W90" i="1"/>
  <c r="X90" i="1"/>
  <c r="Y90" i="1"/>
  <c r="GP90" i="1"/>
  <c r="GQ90" i="1"/>
  <c r="GS90" i="1"/>
  <c r="GU90" i="1"/>
  <c r="GW90" i="1"/>
  <c r="GX90" i="1"/>
  <c r="GY90" i="1"/>
  <c r="HA90" i="1"/>
  <c r="HB90" i="1"/>
  <c r="HC90" i="1"/>
  <c r="D91" i="1"/>
  <c r="E91" i="1"/>
  <c r="F91" i="1"/>
  <c r="G91" i="1"/>
  <c r="H91" i="1"/>
  <c r="I91" i="1"/>
  <c r="J91" i="1"/>
  <c r="M91" i="1"/>
  <c r="N91" i="1"/>
  <c r="O91" i="1"/>
  <c r="P91" i="1"/>
  <c r="Q91" i="1"/>
  <c r="T91" i="1"/>
  <c r="U91" i="1"/>
  <c r="W91" i="1"/>
  <c r="X91" i="1"/>
  <c r="Y91" i="1"/>
  <c r="GP91" i="1"/>
  <c r="GQ91" i="1"/>
  <c r="GS91" i="1"/>
  <c r="GU91" i="1"/>
  <c r="GW91" i="1"/>
  <c r="GX91" i="1"/>
  <c r="GY91" i="1"/>
  <c r="HA91" i="1"/>
  <c r="HB91" i="1"/>
  <c r="HC91" i="1"/>
  <c r="D92" i="1"/>
  <c r="E92" i="1"/>
  <c r="F92" i="1"/>
  <c r="G92" i="1"/>
  <c r="H92" i="1"/>
  <c r="I92" i="1"/>
  <c r="J92" i="1"/>
  <c r="M92" i="1"/>
  <c r="N92" i="1"/>
  <c r="O92" i="1"/>
  <c r="P92" i="1"/>
  <c r="Q92" i="1"/>
  <c r="T92" i="1"/>
  <c r="U92" i="1"/>
  <c r="W92" i="1"/>
  <c r="X92" i="1"/>
  <c r="Y92" i="1"/>
  <c r="GP92" i="1"/>
  <c r="GQ92" i="1"/>
  <c r="GS92" i="1"/>
  <c r="GU92" i="1"/>
  <c r="GW92" i="1"/>
  <c r="GX92" i="1"/>
  <c r="GY92" i="1"/>
  <c r="HA92" i="1"/>
  <c r="HB92" i="1"/>
  <c r="HC92" i="1"/>
  <c r="D93" i="1"/>
  <c r="E93" i="1"/>
  <c r="F93" i="1"/>
  <c r="G93" i="1"/>
  <c r="H93" i="1"/>
  <c r="I93" i="1"/>
  <c r="J93" i="1"/>
  <c r="M93" i="1"/>
  <c r="N93" i="1"/>
  <c r="O93" i="1"/>
  <c r="P93" i="1"/>
  <c r="Q93" i="1"/>
  <c r="T93" i="1"/>
  <c r="U93" i="1"/>
  <c r="W93" i="1"/>
  <c r="X93" i="1"/>
  <c r="Y93" i="1"/>
  <c r="GP93" i="1"/>
  <c r="GQ93" i="1"/>
  <c r="GS93" i="1"/>
  <c r="GU93" i="1"/>
  <c r="GW93" i="1"/>
  <c r="GX93" i="1"/>
  <c r="GY93" i="1"/>
  <c r="HA93" i="1"/>
  <c r="HB93" i="1"/>
  <c r="HC93" i="1"/>
  <c r="D94" i="1"/>
  <c r="E94" i="1"/>
  <c r="F94" i="1"/>
  <c r="G94" i="1"/>
  <c r="H94" i="1"/>
  <c r="I94" i="1"/>
  <c r="J94" i="1"/>
  <c r="M94" i="1"/>
  <c r="N94" i="1"/>
  <c r="O94" i="1"/>
  <c r="P94" i="1"/>
  <c r="Q94" i="1"/>
  <c r="T94" i="1"/>
  <c r="U94" i="1"/>
  <c r="W94" i="1"/>
  <c r="X94" i="1"/>
  <c r="Y94" i="1"/>
  <c r="D95" i="1"/>
  <c r="E95" i="1"/>
  <c r="F95" i="1"/>
  <c r="G95" i="1"/>
  <c r="H95" i="1"/>
  <c r="I95" i="1"/>
  <c r="J95" i="1"/>
  <c r="M95" i="1"/>
  <c r="N95" i="1"/>
  <c r="O95" i="1"/>
  <c r="P95" i="1"/>
  <c r="Q95" i="1"/>
  <c r="T95" i="1"/>
  <c r="U95" i="1"/>
  <c r="W95" i="1"/>
  <c r="X95" i="1"/>
  <c r="Y95" i="1"/>
  <c r="D96" i="1"/>
  <c r="E96" i="1"/>
  <c r="F96" i="1"/>
  <c r="G96" i="1"/>
  <c r="H96" i="1"/>
  <c r="I96" i="1"/>
  <c r="J96" i="1"/>
  <c r="M96" i="1"/>
  <c r="N96" i="1"/>
  <c r="O96" i="1"/>
  <c r="P96" i="1"/>
  <c r="Q96" i="1"/>
  <c r="T96" i="1"/>
  <c r="U96" i="1"/>
  <c r="W96" i="1"/>
  <c r="X96" i="1"/>
  <c r="Y96" i="1"/>
  <c r="D97" i="1"/>
  <c r="E97" i="1"/>
  <c r="F97" i="1"/>
  <c r="G97" i="1"/>
  <c r="H97" i="1"/>
  <c r="I97" i="1"/>
  <c r="J97" i="1"/>
  <c r="M97" i="1"/>
  <c r="N97" i="1"/>
  <c r="O97" i="1"/>
  <c r="P97" i="1"/>
  <c r="Q97" i="1"/>
  <c r="T97" i="1"/>
  <c r="U97" i="1"/>
  <c r="W97" i="1"/>
  <c r="X97" i="1"/>
  <c r="Y97" i="1"/>
  <c r="D98" i="1"/>
  <c r="E98" i="1"/>
  <c r="F98" i="1"/>
  <c r="G98" i="1"/>
  <c r="H98" i="1"/>
  <c r="I98" i="1"/>
  <c r="J98" i="1"/>
  <c r="M98" i="1"/>
  <c r="N98" i="1"/>
  <c r="O98" i="1"/>
  <c r="P98" i="1"/>
  <c r="Q98" i="1"/>
  <c r="T98" i="1"/>
  <c r="U98" i="1"/>
  <c r="W98" i="1"/>
  <c r="X98" i="1"/>
  <c r="Y98" i="1"/>
  <c r="D99" i="1"/>
  <c r="E99" i="1"/>
  <c r="F99" i="1"/>
  <c r="G99" i="1"/>
  <c r="H99" i="1"/>
  <c r="I99" i="1"/>
  <c r="J99" i="1"/>
  <c r="M99" i="1"/>
  <c r="N99" i="1"/>
  <c r="O99" i="1"/>
  <c r="P99" i="1"/>
  <c r="Q99" i="1"/>
  <c r="T99" i="1"/>
  <c r="U99" i="1"/>
  <c r="W99" i="1"/>
  <c r="X99" i="1"/>
  <c r="Y99" i="1"/>
  <c r="BA99" i="1"/>
  <c r="D100" i="1"/>
  <c r="E100" i="1"/>
  <c r="F100" i="1"/>
  <c r="G100" i="1"/>
  <c r="H100" i="1"/>
  <c r="I100" i="1"/>
  <c r="J100" i="1"/>
  <c r="K100" i="1"/>
  <c r="M100" i="1"/>
  <c r="N100" i="1"/>
  <c r="O100" i="1"/>
  <c r="P100" i="1"/>
  <c r="Q100" i="1"/>
  <c r="T100" i="1"/>
  <c r="U100" i="1"/>
  <c r="W100" i="1"/>
  <c r="X100" i="1"/>
  <c r="Y100" i="1"/>
  <c r="BA100" i="1"/>
  <c r="D101" i="1"/>
  <c r="E101" i="1"/>
  <c r="F101" i="1"/>
  <c r="G101" i="1"/>
  <c r="H101" i="1"/>
  <c r="I101" i="1"/>
  <c r="J101" i="1"/>
  <c r="M101" i="1"/>
  <c r="N101" i="1"/>
  <c r="O101" i="1"/>
  <c r="P101" i="1"/>
  <c r="Q101" i="1"/>
  <c r="T101" i="1"/>
  <c r="U101" i="1"/>
  <c r="W101" i="1"/>
  <c r="X101" i="1"/>
  <c r="Y101" i="1"/>
  <c r="BA101" i="1"/>
  <c r="D102" i="1"/>
  <c r="E102" i="1"/>
  <c r="F102" i="1"/>
  <c r="G102" i="1"/>
  <c r="H102" i="1"/>
  <c r="I102" i="1"/>
  <c r="J102" i="1"/>
  <c r="M102" i="1"/>
  <c r="N102" i="1"/>
  <c r="O102" i="1"/>
  <c r="P102" i="1"/>
  <c r="Q102" i="1"/>
  <c r="T102" i="1"/>
  <c r="U102" i="1"/>
  <c r="W102" i="1"/>
  <c r="X102" i="1"/>
  <c r="Y102" i="1"/>
  <c r="BA102" i="1"/>
  <c r="D103" i="1"/>
  <c r="E103" i="1"/>
  <c r="F103" i="1"/>
  <c r="G103" i="1"/>
  <c r="H103" i="1"/>
  <c r="I103" i="1"/>
  <c r="J103" i="1"/>
  <c r="M103" i="1"/>
  <c r="N103" i="1"/>
  <c r="O103" i="1"/>
  <c r="P103" i="1"/>
  <c r="Q103" i="1"/>
  <c r="T103" i="1"/>
  <c r="U103" i="1"/>
  <c r="W103" i="1"/>
  <c r="X103" i="1"/>
  <c r="Y103" i="1"/>
  <c r="BA103" i="1"/>
  <c r="D104" i="1"/>
  <c r="E104" i="1"/>
  <c r="F104" i="1"/>
  <c r="G104" i="1"/>
  <c r="H104" i="1"/>
  <c r="I104" i="1"/>
  <c r="J104" i="1"/>
  <c r="M104" i="1"/>
  <c r="N104" i="1"/>
  <c r="O104" i="1"/>
  <c r="P104" i="1"/>
  <c r="Q104" i="1"/>
  <c r="T104" i="1"/>
  <c r="U104" i="1"/>
  <c r="W104" i="1"/>
  <c r="X104" i="1"/>
  <c r="Y104" i="1"/>
  <c r="BA104" i="1"/>
  <c r="D105" i="1"/>
  <c r="E105" i="1"/>
  <c r="F105" i="1"/>
  <c r="G105" i="1"/>
  <c r="H105" i="1"/>
  <c r="I105" i="1"/>
  <c r="J105" i="1"/>
  <c r="M105" i="1"/>
  <c r="N105" i="1"/>
  <c r="O105" i="1"/>
  <c r="P105" i="1"/>
  <c r="Q105" i="1"/>
  <c r="T105" i="1"/>
  <c r="U105" i="1"/>
  <c r="W105" i="1"/>
  <c r="X105" i="1"/>
  <c r="Y105" i="1"/>
  <c r="BA105" i="1"/>
  <c r="D106" i="1"/>
  <c r="E106" i="1"/>
  <c r="F106" i="1"/>
  <c r="G106" i="1"/>
  <c r="H106" i="1"/>
  <c r="I106" i="1"/>
  <c r="J106" i="1"/>
  <c r="M106" i="1"/>
  <c r="N106" i="1"/>
  <c r="O106" i="1"/>
  <c r="P106" i="1"/>
  <c r="Q106" i="1"/>
  <c r="T106" i="1"/>
  <c r="U106" i="1"/>
  <c r="W106" i="1"/>
  <c r="X106" i="1"/>
  <c r="Y106" i="1"/>
  <c r="BA106" i="1"/>
  <c r="D107" i="1"/>
  <c r="E107" i="1"/>
  <c r="F107" i="1"/>
  <c r="G107" i="1"/>
  <c r="H107" i="1"/>
  <c r="I107" i="1"/>
  <c r="J107" i="1"/>
  <c r="M107" i="1"/>
  <c r="N107" i="1"/>
  <c r="O107" i="1"/>
  <c r="P107" i="1"/>
  <c r="Q107" i="1"/>
  <c r="T107" i="1"/>
  <c r="U107" i="1"/>
  <c r="W107" i="1"/>
  <c r="X107" i="1"/>
  <c r="Y107" i="1"/>
  <c r="D108" i="1"/>
  <c r="E108" i="1"/>
  <c r="F108" i="1"/>
  <c r="G108" i="1"/>
  <c r="H108" i="1"/>
  <c r="I108" i="1"/>
  <c r="J108" i="1"/>
  <c r="M108" i="1"/>
  <c r="N108" i="1"/>
  <c r="O108" i="1"/>
  <c r="P108" i="1"/>
  <c r="Q108" i="1"/>
  <c r="T108" i="1"/>
  <c r="U108" i="1"/>
  <c r="W108" i="1"/>
  <c r="X108" i="1"/>
  <c r="Y108" i="1"/>
  <c r="D109" i="1"/>
  <c r="E109" i="1"/>
  <c r="F109" i="1"/>
  <c r="G109" i="1"/>
  <c r="H109" i="1"/>
  <c r="I109" i="1"/>
  <c r="J109" i="1"/>
  <c r="M109" i="1"/>
  <c r="N109" i="1"/>
  <c r="O109" i="1"/>
  <c r="P109" i="1"/>
  <c r="Q109" i="1"/>
  <c r="T109" i="1"/>
  <c r="U109" i="1"/>
  <c r="W109" i="1"/>
  <c r="X109" i="1"/>
  <c r="Y109" i="1"/>
  <c r="D110" i="1"/>
  <c r="E110" i="1"/>
  <c r="F110" i="1"/>
  <c r="G110" i="1"/>
  <c r="H110" i="1"/>
  <c r="I110" i="1"/>
  <c r="J110" i="1"/>
  <c r="M110" i="1"/>
  <c r="N110" i="1"/>
  <c r="O110" i="1"/>
  <c r="P110" i="1"/>
  <c r="Q110" i="1"/>
  <c r="T110" i="1"/>
  <c r="U110" i="1"/>
  <c r="W110" i="1"/>
  <c r="X110" i="1"/>
  <c r="Y110" i="1"/>
  <c r="D111" i="1"/>
  <c r="E111" i="1"/>
  <c r="F111" i="1"/>
  <c r="G111" i="1"/>
  <c r="H111" i="1"/>
  <c r="I111" i="1"/>
  <c r="J111" i="1"/>
  <c r="M111" i="1"/>
  <c r="N111" i="1"/>
  <c r="O111" i="1"/>
  <c r="P111" i="1"/>
  <c r="Q111" i="1"/>
  <c r="T111" i="1"/>
  <c r="U111" i="1"/>
  <c r="W111" i="1"/>
  <c r="X111" i="1"/>
  <c r="Y111" i="1"/>
  <c r="D112" i="1"/>
  <c r="E112" i="1"/>
  <c r="F112" i="1"/>
  <c r="G112" i="1"/>
  <c r="H112" i="1"/>
  <c r="I112" i="1"/>
  <c r="J112" i="1"/>
  <c r="K112" i="1"/>
  <c r="M112" i="1"/>
  <c r="N112" i="1"/>
  <c r="O112" i="1"/>
  <c r="P112" i="1"/>
  <c r="Q112" i="1"/>
  <c r="T112" i="1"/>
  <c r="U112" i="1"/>
  <c r="W112" i="1"/>
  <c r="X112" i="1"/>
  <c r="Y112" i="1"/>
  <c r="D113" i="1"/>
  <c r="E113" i="1"/>
  <c r="F113" i="1"/>
  <c r="G113" i="1"/>
  <c r="H113" i="1"/>
  <c r="I113" i="1"/>
  <c r="J113" i="1"/>
  <c r="M113" i="1"/>
  <c r="N113" i="1"/>
  <c r="O113" i="1"/>
  <c r="P113" i="1"/>
  <c r="Q113" i="1"/>
  <c r="T113" i="1"/>
  <c r="U113" i="1"/>
  <c r="W113" i="1"/>
  <c r="X113" i="1"/>
  <c r="Y113" i="1"/>
  <c r="D114" i="1"/>
  <c r="E114" i="1"/>
  <c r="F114" i="1"/>
  <c r="G114" i="1"/>
  <c r="H114" i="1"/>
  <c r="I114" i="1"/>
  <c r="J114" i="1"/>
  <c r="M114" i="1"/>
  <c r="N114" i="1"/>
  <c r="O114" i="1"/>
  <c r="P114" i="1"/>
  <c r="Q114" i="1"/>
  <c r="T114" i="1"/>
  <c r="U114" i="1"/>
  <c r="W114" i="1"/>
  <c r="X114" i="1"/>
  <c r="Y114" i="1"/>
  <c r="D115" i="1"/>
  <c r="E115" i="1"/>
  <c r="F115" i="1"/>
  <c r="G115" i="1"/>
  <c r="H115" i="1"/>
  <c r="I115" i="1"/>
  <c r="J115" i="1"/>
  <c r="M115" i="1"/>
  <c r="N115" i="1"/>
  <c r="O115" i="1"/>
  <c r="P115" i="1"/>
  <c r="Q115" i="1"/>
  <c r="T115" i="1"/>
  <c r="U115" i="1"/>
  <c r="W115" i="1"/>
  <c r="X115" i="1"/>
  <c r="Y115" i="1"/>
  <c r="D116" i="1"/>
  <c r="E116" i="1"/>
  <c r="F116" i="1"/>
  <c r="G116" i="1"/>
  <c r="H116" i="1"/>
  <c r="I116" i="1"/>
  <c r="J116" i="1"/>
  <c r="M116" i="1"/>
  <c r="N116" i="1"/>
  <c r="O116" i="1"/>
  <c r="P116" i="1"/>
  <c r="Q116" i="1"/>
  <c r="T116" i="1"/>
  <c r="U116" i="1"/>
  <c r="W116" i="1"/>
  <c r="X116" i="1"/>
  <c r="Y116" i="1"/>
  <c r="D117" i="1"/>
  <c r="E117" i="1"/>
  <c r="F117" i="1"/>
  <c r="G117" i="1"/>
  <c r="H117" i="1"/>
  <c r="I117" i="1"/>
  <c r="J117" i="1"/>
  <c r="M117" i="1"/>
  <c r="N117" i="1"/>
  <c r="O117" i="1"/>
  <c r="P117" i="1"/>
  <c r="Q117" i="1"/>
  <c r="T117" i="1"/>
  <c r="U117" i="1"/>
  <c r="W117" i="1"/>
  <c r="X117" i="1"/>
  <c r="Y117" i="1"/>
  <c r="D118" i="1"/>
  <c r="E118" i="1"/>
  <c r="F118" i="1"/>
  <c r="G118" i="1"/>
  <c r="H118" i="1"/>
  <c r="I118" i="1"/>
  <c r="J118" i="1"/>
  <c r="M118" i="1"/>
  <c r="N118" i="1"/>
  <c r="O118" i="1"/>
  <c r="P118" i="1"/>
  <c r="Q118" i="1"/>
  <c r="T118" i="1"/>
  <c r="U118" i="1"/>
  <c r="W118" i="1"/>
  <c r="X118" i="1"/>
  <c r="Y118" i="1"/>
  <c r="D119" i="1"/>
  <c r="E119" i="1"/>
  <c r="F119" i="1"/>
  <c r="G119" i="1"/>
  <c r="H119" i="1"/>
  <c r="I119" i="1"/>
  <c r="J119" i="1"/>
  <c r="M119" i="1"/>
  <c r="N119" i="1"/>
  <c r="O119" i="1"/>
  <c r="P119" i="1"/>
  <c r="Q119" i="1"/>
  <c r="T119" i="1"/>
  <c r="U119" i="1"/>
  <c r="W119" i="1"/>
  <c r="X119" i="1"/>
  <c r="Y119" i="1"/>
  <c r="D120" i="1"/>
  <c r="E120" i="1"/>
  <c r="F120" i="1"/>
  <c r="G120" i="1"/>
  <c r="H120" i="1"/>
  <c r="I120" i="1"/>
  <c r="J120" i="1"/>
  <c r="M120" i="1"/>
  <c r="N120" i="1"/>
  <c r="O120" i="1"/>
  <c r="P120" i="1"/>
  <c r="Q120" i="1"/>
  <c r="T120" i="1"/>
  <c r="U120" i="1"/>
  <c r="W120" i="1"/>
  <c r="X120" i="1"/>
  <c r="Y120" i="1"/>
  <c r="D121" i="1"/>
  <c r="E121" i="1"/>
  <c r="F121" i="1"/>
  <c r="G121" i="1"/>
  <c r="H121" i="1"/>
  <c r="I121" i="1"/>
  <c r="J121" i="1"/>
  <c r="M121" i="1"/>
  <c r="N121" i="1"/>
  <c r="O121" i="1"/>
  <c r="P121" i="1"/>
  <c r="Q121" i="1"/>
  <c r="T121" i="1"/>
  <c r="U121" i="1"/>
  <c r="W121" i="1"/>
  <c r="X121" i="1"/>
  <c r="Y121" i="1"/>
  <c r="D122" i="1"/>
  <c r="E122" i="1"/>
  <c r="F122" i="1"/>
  <c r="G122" i="1"/>
  <c r="H122" i="1"/>
  <c r="I122" i="1"/>
  <c r="J122" i="1"/>
  <c r="M122" i="1"/>
  <c r="N122" i="1"/>
  <c r="O122" i="1"/>
  <c r="P122" i="1"/>
  <c r="Q122" i="1"/>
  <c r="T122" i="1"/>
  <c r="U122" i="1"/>
  <c r="W122" i="1"/>
  <c r="X122" i="1"/>
  <c r="Y122" i="1"/>
  <c r="D123" i="1"/>
  <c r="E123" i="1"/>
  <c r="F123" i="1"/>
  <c r="G123" i="1"/>
  <c r="H123" i="1"/>
  <c r="I123" i="1"/>
  <c r="J123" i="1"/>
  <c r="M123" i="1"/>
  <c r="N123" i="1"/>
  <c r="O123" i="1"/>
  <c r="P123" i="1"/>
  <c r="Q123" i="1"/>
  <c r="T123" i="1"/>
  <c r="U123" i="1"/>
  <c r="W123" i="1"/>
  <c r="X123" i="1"/>
  <c r="Y123" i="1"/>
  <c r="D124" i="1"/>
  <c r="E124" i="1"/>
  <c r="F124" i="1"/>
  <c r="G124" i="1"/>
  <c r="H124" i="1"/>
  <c r="I124" i="1"/>
  <c r="J124" i="1"/>
  <c r="K124" i="1"/>
  <c r="M124" i="1"/>
  <c r="N124" i="1"/>
  <c r="O124" i="1"/>
  <c r="P124" i="1"/>
  <c r="Q124" i="1"/>
  <c r="T124" i="1"/>
  <c r="U124" i="1"/>
  <c r="W124" i="1"/>
  <c r="X124" i="1"/>
  <c r="Y124" i="1"/>
  <c r="D125" i="1"/>
  <c r="E125" i="1"/>
  <c r="F125" i="1"/>
  <c r="G125" i="1"/>
  <c r="H125" i="1"/>
  <c r="I125" i="1"/>
  <c r="J125" i="1"/>
  <c r="M125" i="1"/>
  <c r="N125" i="1"/>
  <c r="O125" i="1"/>
  <c r="P125" i="1"/>
  <c r="Q125" i="1"/>
  <c r="T125" i="1"/>
  <c r="U125" i="1"/>
  <c r="W125" i="1"/>
  <c r="X125" i="1"/>
  <c r="Y125" i="1"/>
  <c r="D126" i="1"/>
  <c r="E126" i="1"/>
  <c r="F126" i="1"/>
  <c r="G126" i="1"/>
  <c r="H126" i="1"/>
  <c r="I126" i="1"/>
  <c r="J126" i="1"/>
  <c r="M126" i="1"/>
  <c r="N126" i="1"/>
  <c r="O126" i="1"/>
  <c r="P126" i="1"/>
  <c r="Q126" i="1"/>
  <c r="T126" i="1"/>
  <c r="U126" i="1"/>
  <c r="W126" i="1"/>
  <c r="X126" i="1"/>
  <c r="Y126" i="1"/>
  <c r="D127" i="1"/>
  <c r="E127" i="1"/>
  <c r="F127" i="1"/>
  <c r="G127" i="1"/>
  <c r="H127" i="1"/>
  <c r="I127" i="1"/>
  <c r="J127" i="1"/>
  <c r="M127" i="1"/>
  <c r="N127" i="1"/>
  <c r="O127" i="1"/>
  <c r="P127" i="1"/>
  <c r="Q127" i="1"/>
  <c r="T127" i="1"/>
  <c r="U127" i="1"/>
  <c r="W127" i="1"/>
  <c r="X127" i="1"/>
  <c r="Y127" i="1"/>
  <c r="D128" i="1"/>
  <c r="E128" i="1"/>
  <c r="F128" i="1"/>
  <c r="G128" i="1"/>
  <c r="H128" i="1"/>
  <c r="I128" i="1"/>
  <c r="J128" i="1"/>
  <c r="M128" i="1"/>
  <c r="N128" i="1"/>
  <c r="O128" i="1"/>
  <c r="T128" i="1"/>
  <c r="U128" i="1"/>
  <c r="W128" i="1"/>
  <c r="X128" i="1"/>
  <c r="Y128" i="1"/>
  <c r="D129" i="1"/>
  <c r="E129" i="1"/>
  <c r="F129" i="1"/>
  <c r="G129" i="1"/>
  <c r="H129" i="1"/>
  <c r="I129" i="1"/>
  <c r="J129" i="1"/>
  <c r="M129" i="1"/>
  <c r="N129" i="1"/>
  <c r="O129" i="1"/>
  <c r="T129" i="1"/>
  <c r="U129" i="1"/>
  <c r="W129" i="1"/>
  <c r="X129" i="1"/>
  <c r="Y129" i="1"/>
  <c r="D130" i="1"/>
  <c r="E130" i="1"/>
  <c r="F130" i="1"/>
  <c r="G130" i="1"/>
  <c r="H130" i="1"/>
  <c r="I130" i="1"/>
  <c r="J130" i="1"/>
  <c r="M130" i="1"/>
  <c r="N130" i="1"/>
  <c r="O130" i="1"/>
  <c r="T130" i="1"/>
  <c r="U130" i="1"/>
  <c r="W130" i="1"/>
  <c r="X130" i="1"/>
  <c r="Y130" i="1"/>
  <c r="D131" i="1"/>
  <c r="E131" i="1"/>
  <c r="F131" i="1"/>
  <c r="G131" i="1"/>
  <c r="H131" i="1"/>
  <c r="I131" i="1"/>
  <c r="J131" i="1"/>
  <c r="M131" i="1"/>
  <c r="N131" i="1"/>
  <c r="O131" i="1"/>
  <c r="T131" i="1"/>
  <c r="U131" i="1"/>
  <c r="W131" i="1"/>
  <c r="X131" i="1"/>
  <c r="Y131" i="1"/>
  <c r="D132" i="1"/>
  <c r="E132" i="1"/>
  <c r="F132" i="1"/>
  <c r="G132" i="1"/>
  <c r="H132" i="1"/>
  <c r="I132" i="1"/>
  <c r="J132" i="1"/>
  <c r="M132" i="1"/>
  <c r="N132" i="1"/>
  <c r="O132" i="1"/>
  <c r="P326" i="1"/>
  <c r="P132" i="1"/>
  <c r="Q326" i="1"/>
  <c r="Q132" i="1"/>
  <c r="T132" i="1"/>
  <c r="U132" i="1"/>
  <c r="W132" i="1"/>
  <c r="X132" i="1"/>
  <c r="Y132" i="1"/>
  <c r="D133" i="1"/>
  <c r="E133" i="1"/>
  <c r="F133" i="1"/>
  <c r="G133" i="1"/>
  <c r="H133" i="1"/>
  <c r="I133" i="1"/>
  <c r="J133" i="1"/>
  <c r="M133" i="1"/>
  <c r="N133" i="1"/>
  <c r="O133" i="1"/>
  <c r="P327" i="1"/>
  <c r="P133" i="1"/>
  <c r="Q327" i="1"/>
  <c r="Q133" i="1"/>
  <c r="T133" i="1"/>
  <c r="U133" i="1"/>
  <c r="W133" i="1"/>
  <c r="X133" i="1"/>
  <c r="Y133" i="1"/>
  <c r="D134" i="1"/>
  <c r="E134" i="1"/>
  <c r="F134" i="1"/>
  <c r="G134" i="1"/>
  <c r="H134" i="1"/>
  <c r="I134" i="1"/>
  <c r="J134" i="1"/>
  <c r="M134" i="1"/>
  <c r="N134" i="1"/>
  <c r="O134" i="1"/>
  <c r="P328" i="1"/>
  <c r="P134" i="1"/>
  <c r="Q328" i="1"/>
  <c r="Q134" i="1"/>
  <c r="T134" i="1"/>
  <c r="U134" i="1"/>
  <c r="W134" i="1"/>
  <c r="X134" i="1"/>
  <c r="Y134" i="1"/>
  <c r="D135" i="1"/>
  <c r="E135" i="1"/>
  <c r="F135" i="1"/>
  <c r="G135" i="1"/>
  <c r="H135" i="1"/>
  <c r="I135" i="1"/>
  <c r="J135" i="1"/>
  <c r="M135" i="1"/>
  <c r="N135" i="1"/>
  <c r="O135" i="1"/>
  <c r="P329" i="1"/>
  <c r="P135" i="1"/>
  <c r="Q329" i="1"/>
  <c r="Q135" i="1"/>
  <c r="T135" i="1"/>
  <c r="U135" i="1"/>
  <c r="W135" i="1"/>
  <c r="X135" i="1"/>
  <c r="Y135" i="1"/>
  <c r="D136" i="1"/>
  <c r="E136" i="1"/>
  <c r="F136" i="1"/>
  <c r="G136" i="1"/>
  <c r="H136" i="1"/>
  <c r="I136" i="1"/>
  <c r="J136" i="1"/>
  <c r="K136" i="1"/>
  <c r="M136" i="1"/>
  <c r="N136" i="1"/>
  <c r="O136" i="1"/>
  <c r="P330" i="1"/>
  <c r="P136" i="1"/>
  <c r="Q330" i="1"/>
  <c r="Q136" i="1"/>
  <c r="T136" i="1"/>
  <c r="U136" i="1"/>
  <c r="W136" i="1"/>
  <c r="X136" i="1"/>
  <c r="Y136" i="1"/>
  <c r="D137" i="1"/>
  <c r="E137" i="1"/>
  <c r="F137" i="1"/>
  <c r="G137" i="1"/>
  <c r="H137" i="1"/>
  <c r="I137" i="1"/>
  <c r="J137" i="1"/>
  <c r="M137" i="1"/>
  <c r="N137" i="1"/>
  <c r="O137" i="1"/>
  <c r="P331" i="1"/>
  <c r="P137" i="1"/>
  <c r="Q331" i="1"/>
  <c r="Q137" i="1"/>
  <c r="T137" i="1"/>
  <c r="U137" i="1"/>
  <c r="W137" i="1"/>
  <c r="X137" i="1"/>
  <c r="Y137" i="1"/>
  <c r="D138" i="1"/>
  <c r="E138" i="1"/>
  <c r="F138" i="1"/>
  <c r="G138" i="1"/>
  <c r="H138" i="1"/>
  <c r="I138" i="1"/>
  <c r="J138" i="1"/>
  <c r="M138" i="1"/>
  <c r="N138" i="1"/>
  <c r="O138" i="1"/>
  <c r="P332" i="1"/>
  <c r="P138" i="1"/>
  <c r="Q332" i="1"/>
  <c r="Q138" i="1"/>
  <c r="T138" i="1"/>
  <c r="U138" i="1"/>
  <c r="W138" i="1"/>
  <c r="X138" i="1"/>
  <c r="Y138" i="1"/>
  <c r="D139" i="1"/>
  <c r="E139" i="1"/>
  <c r="F139" i="1"/>
  <c r="G139" i="1"/>
  <c r="H139" i="1"/>
  <c r="I139" i="1"/>
  <c r="J139" i="1"/>
  <c r="M139" i="1"/>
  <c r="N139" i="1"/>
  <c r="O139" i="1"/>
  <c r="P333" i="1"/>
  <c r="P139" i="1"/>
  <c r="Q333" i="1"/>
  <c r="Q139" i="1"/>
  <c r="T139" i="1"/>
  <c r="U139" i="1"/>
  <c r="W139" i="1"/>
  <c r="X139" i="1"/>
  <c r="Y139" i="1"/>
  <c r="D140" i="1"/>
  <c r="E140" i="1"/>
  <c r="F140" i="1"/>
  <c r="G140" i="1"/>
  <c r="H140" i="1"/>
  <c r="I140" i="1"/>
  <c r="J140" i="1"/>
  <c r="M140" i="1"/>
  <c r="N140" i="1"/>
  <c r="O140" i="1"/>
  <c r="P334" i="1"/>
  <c r="P140" i="1"/>
  <c r="Q334" i="1"/>
  <c r="Q140" i="1"/>
  <c r="T140" i="1"/>
  <c r="U140" i="1"/>
  <c r="W140" i="1"/>
  <c r="X140" i="1"/>
  <c r="Y140" i="1"/>
  <c r="D141" i="1"/>
  <c r="E141" i="1"/>
  <c r="F141" i="1"/>
  <c r="G141" i="1"/>
  <c r="H141" i="1"/>
  <c r="I141" i="1"/>
  <c r="J141" i="1"/>
  <c r="M141" i="1"/>
  <c r="N141" i="1"/>
  <c r="O141" i="1"/>
  <c r="P335" i="1"/>
  <c r="P141" i="1"/>
  <c r="Q335" i="1"/>
  <c r="Q141" i="1"/>
  <c r="T141" i="1"/>
  <c r="U141" i="1"/>
  <c r="W141" i="1"/>
  <c r="X141" i="1"/>
  <c r="Y141" i="1"/>
  <c r="D142" i="1"/>
  <c r="E142" i="1"/>
  <c r="F142" i="1"/>
  <c r="G142" i="1"/>
  <c r="H142" i="1"/>
  <c r="I142" i="1"/>
  <c r="J142" i="1"/>
  <c r="M142" i="1"/>
  <c r="N142" i="1"/>
  <c r="O142" i="1"/>
  <c r="P336" i="1"/>
  <c r="P142" i="1"/>
  <c r="Q336" i="1"/>
  <c r="Q142" i="1"/>
  <c r="T142" i="1"/>
  <c r="U142" i="1"/>
  <c r="W142" i="1"/>
  <c r="X142" i="1"/>
  <c r="Y142" i="1"/>
  <c r="D143" i="1"/>
  <c r="E143" i="1"/>
  <c r="F143" i="1"/>
  <c r="G143" i="1"/>
  <c r="H143" i="1"/>
  <c r="I143" i="1"/>
  <c r="J143" i="1"/>
  <c r="M143" i="1"/>
  <c r="N143" i="1"/>
  <c r="O143" i="1"/>
  <c r="P337" i="1"/>
  <c r="P143" i="1"/>
  <c r="Q337" i="1"/>
  <c r="Q143" i="1"/>
  <c r="T143" i="1"/>
  <c r="U143" i="1"/>
  <c r="W143" i="1"/>
  <c r="X143" i="1"/>
  <c r="Y143" i="1"/>
  <c r="D144" i="1"/>
  <c r="E144" i="1"/>
  <c r="F144" i="1"/>
  <c r="G144" i="1"/>
  <c r="H144" i="1"/>
  <c r="I144" i="1"/>
  <c r="J144" i="1"/>
  <c r="M144" i="1"/>
  <c r="N144" i="1"/>
  <c r="O144" i="1"/>
  <c r="P338" i="1"/>
  <c r="P144" i="1"/>
  <c r="Q338" i="1"/>
  <c r="Q144" i="1"/>
  <c r="T144" i="1"/>
  <c r="U144" i="1"/>
  <c r="W144" i="1"/>
  <c r="X144" i="1"/>
  <c r="Y144" i="1"/>
  <c r="D145" i="1"/>
  <c r="E145" i="1"/>
  <c r="F145" i="1"/>
  <c r="G145" i="1"/>
  <c r="H145" i="1"/>
  <c r="I145" i="1"/>
  <c r="J145" i="1"/>
  <c r="M145" i="1"/>
  <c r="N145" i="1"/>
  <c r="O145" i="1"/>
  <c r="P339" i="1"/>
  <c r="P145" i="1"/>
  <c r="Q339" i="1"/>
  <c r="Q145" i="1"/>
  <c r="T145" i="1"/>
  <c r="U145" i="1"/>
  <c r="W145" i="1"/>
  <c r="X145" i="1"/>
  <c r="Y145" i="1"/>
  <c r="D146" i="1"/>
  <c r="E146" i="1"/>
  <c r="F146" i="1"/>
  <c r="G146" i="1"/>
  <c r="H146" i="1"/>
  <c r="I146" i="1"/>
  <c r="J146" i="1"/>
  <c r="M146" i="1"/>
  <c r="N146" i="1"/>
  <c r="O146" i="1"/>
  <c r="P340" i="1"/>
  <c r="P146" i="1"/>
  <c r="Q340" i="1"/>
  <c r="Q146" i="1"/>
  <c r="T146" i="1"/>
  <c r="U146" i="1"/>
  <c r="W146" i="1"/>
  <c r="X146" i="1"/>
  <c r="Y146" i="1"/>
  <c r="D147" i="1"/>
  <c r="E147" i="1"/>
  <c r="F147" i="1"/>
  <c r="G147" i="1"/>
  <c r="H147" i="1"/>
  <c r="I147" i="1"/>
  <c r="J147" i="1"/>
  <c r="M147" i="1"/>
  <c r="N147" i="1"/>
  <c r="O147" i="1"/>
  <c r="P341" i="1"/>
  <c r="P147" i="1"/>
  <c r="Q341" i="1"/>
  <c r="Q147" i="1"/>
  <c r="T147" i="1"/>
  <c r="U147" i="1"/>
  <c r="W147" i="1"/>
  <c r="X147" i="1"/>
  <c r="Y147" i="1"/>
  <c r="D148" i="1"/>
  <c r="E148" i="1"/>
  <c r="F148" i="1"/>
  <c r="G148" i="1"/>
  <c r="H148" i="1"/>
  <c r="I148" i="1"/>
  <c r="J148" i="1"/>
  <c r="K148" i="1"/>
  <c r="M148" i="1"/>
  <c r="N148" i="1"/>
  <c r="O148" i="1"/>
  <c r="P342" i="1"/>
  <c r="P148" i="1"/>
  <c r="Q342" i="1"/>
  <c r="Q148" i="1"/>
  <c r="T148" i="1"/>
  <c r="U148" i="1"/>
  <c r="W148" i="1"/>
  <c r="X148" i="1"/>
  <c r="Y148" i="1"/>
  <c r="D149" i="1"/>
  <c r="E149" i="1"/>
  <c r="F149" i="1"/>
  <c r="G149" i="1"/>
  <c r="H149" i="1"/>
  <c r="I149" i="1"/>
  <c r="J149" i="1"/>
  <c r="M149" i="1"/>
  <c r="N149" i="1"/>
  <c r="O149" i="1"/>
  <c r="P343" i="1"/>
  <c r="P149" i="1"/>
  <c r="Q343" i="1"/>
  <c r="Q149" i="1"/>
  <c r="T149" i="1"/>
  <c r="U149" i="1"/>
  <c r="W149" i="1"/>
  <c r="X149" i="1"/>
  <c r="Y149" i="1"/>
  <c r="D150" i="1"/>
  <c r="E150" i="1"/>
  <c r="F150" i="1"/>
  <c r="G150" i="1"/>
  <c r="H150" i="1"/>
  <c r="I150" i="1"/>
  <c r="J150" i="1"/>
  <c r="M150" i="1"/>
  <c r="N150" i="1"/>
  <c r="O150" i="1"/>
  <c r="P344" i="1"/>
  <c r="P150" i="1"/>
  <c r="Q344" i="1"/>
  <c r="Q150" i="1"/>
  <c r="T150" i="1"/>
  <c r="U150" i="1"/>
  <c r="W150" i="1"/>
  <c r="X150" i="1"/>
  <c r="Y150" i="1"/>
  <c r="D151" i="1"/>
  <c r="E151" i="1"/>
  <c r="F151" i="1"/>
  <c r="G151" i="1"/>
  <c r="H151" i="1"/>
  <c r="I151" i="1"/>
  <c r="J151" i="1"/>
  <c r="M151" i="1"/>
  <c r="N151" i="1"/>
  <c r="O151" i="1"/>
  <c r="P345" i="1"/>
  <c r="P151" i="1"/>
  <c r="Q345" i="1"/>
  <c r="Q151" i="1"/>
  <c r="T151" i="1"/>
  <c r="U151" i="1"/>
  <c r="W151" i="1"/>
  <c r="X151" i="1"/>
  <c r="Y151" i="1"/>
  <c r="D152" i="1"/>
  <c r="E152" i="1"/>
  <c r="F152" i="1"/>
  <c r="G152" i="1"/>
  <c r="H152" i="1"/>
  <c r="I152" i="1"/>
  <c r="J152" i="1"/>
  <c r="M152" i="1"/>
  <c r="N152" i="1"/>
  <c r="O152" i="1"/>
  <c r="P346" i="1"/>
  <c r="P152" i="1"/>
  <c r="Q346" i="1"/>
  <c r="Q152" i="1"/>
  <c r="T152" i="1"/>
  <c r="U152" i="1"/>
  <c r="W152" i="1"/>
  <c r="X152" i="1"/>
  <c r="Y152" i="1"/>
  <c r="D153" i="1"/>
  <c r="E153" i="1"/>
  <c r="F153" i="1"/>
  <c r="G153" i="1"/>
  <c r="H153" i="1"/>
  <c r="I153" i="1"/>
  <c r="J153" i="1"/>
  <c r="M153" i="1"/>
  <c r="N153" i="1"/>
  <c r="O153" i="1"/>
  <c r="P347" i="1"/>
  <c r="P153" i="1"/>
  <c r="Q347" i="1"/>
  <c r="Q153" i="1"/>
  <c r="T153" i="1"/>
  <c r="U153" i="1"/>
  <c r="W153" i="1"/>
  <c r="X153" i="1"/>
  <c r="Y153" i="1"/>
  <c r="D154" i="1"/>
  <c r="E154" i="1"/>
  <c r="F154" i="1"/>
  <c r="G154" i="1"/>
  <c r="H154" i="1"/>
  <c r="I154" i="1"/>
  <c r="J154" i="1"/>
  <c r="M154" i="1"/>
  <c r="N154" i="1"/>
  <c r="O154" i="1"/>
  <c r="P348" i="1"/>
  <c r="P154" i="1"/>
  <c r="Q348" i="1"/>
  <c r="Q154" i="1"/>
  <c r="T154" i="1"/>
  <c r="U154" i="1"/>
  <c r="W154" i="1"/>
  <c r="X154" i="1"/>
  <c r="Y154" i="1"/>
  <c r="D155" i="1"/>
  <c r="E155" i="1"/>
  <c r="F155" i="1"/>
  <c r="G155" i="1"/>
  <c r="H155" i="1"/>
  <c r="I155" i="1"/>
  <c r="J155" i="1"/>
  <c r="M155" i="1"/>
  <c r="N155" i="1"/>
  <c r="O155" i="1"/>
  <c r="P349" i="1"/>
  <c r="P155" i="1"/>
  <c r="Q349" i="1"/>
  <c r="Q155" i="1"/>
  <c r="T155" i="1"/>
  <c r="U155" i="1"/>
  <c r="W155" i="1"/>
  <c r="X155" i="1"/>
  <c r="Y155" i="1"/>
  <c r="D156" i="1"/>
  <c r="E156" i="1"/>
  <c r="F156" i="1"/>
  <c r="G156" i="1"/>
  <c r="H156" i="1"/>
  <c r="I156" i="1"/>
  <c r="J156" i="1"/>
  <c r="M156" i="1"/>
  <c r="N156" i="1"/>
  <c r="O156" i="1"/>
  <c r="P350" i="1"/>
  <c r="P156" i="1"/>
  <c r="Q350" i="1"/>
  <c r="Q156" i="1"/>
  <c r="T156" i="1"/>
  <c r="U156" i="1"/>
  <c r="W156" i="1"/>
  <c r="X156" i="1"/>
  <c r="Y156" i="1"/>
  <c r="D157" i="1"/>
  <c r="E157" i="1"/>
  <c r="F157" i="1"/>
  <c r="G157" i="1"/>
  <c r="H157" i="1"/>
  <c r="I157" i="1"/>
  <c r="J157" i="1"/>
  <c r="M157" i="1"/>
  <c r="N157" i="1"/>
  <c r="O157" i="1"/>
  <c r="P351" i="1"/>
  <c r="P157" i="1"/>
  <c r="Q351" i="1"/>
  <c r="Q157" i="1"/>
  <c r="R157" i="1"/>
  <c r="S157" i="1"/>
  <c r="T157" i="1"/>
  <c r="U157" i="1"/>
  <c r="W157" i="1"/>
  <c r="X157" i="1"/>
  <c r="Y157" i="1"/>
  <c r="D158" i="1"/>
  <c r="E158" i="1"/>
  <c r="F158" i="1"/>
  <c r="G158" i="1"/>
  <c r="H158" i="1"/>
  <c r="I158" i="1"/>
  <c r="J158" i="1"/>
  <c r="M158" i="1"/>
  <c r="N158" i="1"/>
  <c r="O158" i="1"/>
  <c r="P352" i="1"/>
  <c r="P158" i="1"/>
  <c r="Q352" i="1"/>
  <c r="Q158" i="1"/>
  <c r="R158" i="1"/>
  <c r="S158" i="1"/>
  <c r="T158" i="1"/>
  <c r="U158" i="1"/>
  <c r="W158" i="1"/>
  <c r="X158" i="1"/>
  <c r="Y158" i="1"/>
  <c r="D159" i="1"/>
  <c r="E159" i="1"/>
  <c r="F159" i="1"/>
  <c r="G159" i="1"/>
  <c r="H159" i="1"/>
  <c r="I159" i="1"/>
  <c r="J159" i="1"/>
  <c r="M159" i="1"/>
  <c r="N159" i="1"/>
  <c r="O159" i="1"/>
  <c r="P353" i="1"/>
  <c r="P159" i="1"/>
  <c r="Q353" i="1"/>
  <c r="Q159" i="1"/>
  <c r="R159" i="1"/>
  <c r="S159" i="1"/>
  <c r="T159" i="1"/>
  <c r="U159" i="1"/>
  <c r="W159" i="1"/>
  <c r="X159" i="1"/>
  <c r="Y159" i="1"/>
  <c r="D160" i="1"/>
  <c r="E160" i="1"/>
  <c r="F160" i="1"/>
  <c r="G160" i="1"/>
  <c r="I160" i="1"/>
  <c r="J160" i="1"/>
  <c r="K160" i="1"/>
  <c r="M160" i="1"/>
  <c r="N160" i="1"/>
  <c r="O160" i="1"/>
  <c r="P354" i="1"/>
  <c r="P160" i="1"/>
  <c r="Q354" i="1"/>
  <c r="Q160" i="1"/>
  <c r="R160" i="1"/>
  <c r="S160" i="1"/>
  <c r="T160" i="1"/>
  <c r="U160" i="1"/>
  <c r="W160" i="1"/>
  <c r="X160" i="1"/>
  <c r="Y160" i="1"/>
  <c r="D161" i="1"/>
  <c r="E161" i="1"/>
  <c r="F161" i="1"/>
  <c r="G161" i="1"/>
  <c r="I161" i="1"/>
  <c r="J161" i="1"/>
  <c r="M161" i="1"/>
  <c r="N161" i="1"/>
  <c r="O161" i="1"/>
  <c r="P355" i="1"/>
  <c r="P161" i="1"/>
  <c r="Q355" i="1"/>
  <c r="Q161" i="1"/>
  <c r="R161" i="1"/>
  <c r="S161" i="1"/>
  <c r="T161" i="1"/>
  <c r="U161" i="1"/>
  <c r="W161" i="1"/>
  <c r="X161" i="1"/>
  <c r="Y161" i="1"/>
  <c r="D162" i="1"/>
  <c r="E162" i="1"/>
  <c r="F162" i="1"/>
  <c r="G162" i="1"/>
  <c r="H162" i="1"/>
  <c r="I162" i="1"/>
  <c r="J162" i="1"/>
  <c r="M162" i="1"/>
  <c r="N162" i="1"/>
  <c r="O162" i="1"/>
  <c r="P356" i="1"/>
  <c r="P162" i="1"/>
  <c r="Q356" i="1"/>
  <c r="Q162" i="1"/>
  <c r="R162" i="1"/>
  <c r="S162" i="1"/>
  <c r="T162" i="1"/>
  <c r="U162" i="1"/>
  <c r="W162" i="1"/>
  <c r="X162" i="1"/>
  <c r="Y162" i="1"/>
  <c r="D163" i="1"/>
  <c r="E163" i="1"/>
  <c r="F163" i="1"/>
  <c r="G163" i="1"/>
  <c r="H163" i="1"/>
  <c r="I163" i="1"/>
  <c r="J163" i="1"/>
  <c r="M163" i="1"/>
  <c r="N163" i="1"/>
  <c r="O163" i="1"/>
  <c r="P357" i="1"/>
  <c r="P163" i="1"/>
  <c r="Q357" i="1"/>
  <c r="Q163" i="1"/>
  <c r="R163" i="1"/>
  <c r="S163" i="1"/>
  <c r="T163" i="1"/>
  <c r="U163" i="1"/>
  <c r="W163" i="1"/>
  <c r="X163" i="1"/>
  <c r="Y163" i="1"/>
  <c r="D164" i="1"/>
  <c r="E164" i="1"/>
  <c r="F164" i="1"/>
  <c r="G164" i="1"/>
  <c r="H164" i="1"/>
  <c r="I164" i="1"/>
  <c r="J164" i="1"/>
  <c r="M164" i="1"/>
  <c r="N164" i="1"/>
  <c r="O164" i="1"/>
  <c r="P358" i="1"/>
  <c r="P164" i="1"/>
  <c r="Q358" i="1"/>
  <c r="Q164" i="1"/>
  <c r="R164" i="1"/>
  <c r="S164" i="1"/>
  <c r="T164" i="1"/>
  <c r="U164" i="1"/>
  <c r="W164" i="1"/>
  <c r="X164" i="1"/>
  <c r="Y164" i="1"/>
  <c r="D165" i="1"/>
  <c r="E165" i="1"/>
  <c r="F165" i="1"/>
  <c r="G165" i="1"/>
  <c r="H165" i="1"/>
  <c r="I165" i="1"/>
  <c r="J165" i="1"/>
  <c r="M165" i="1"/>
  <c r="N165" i="1"/>
  <c r="O165" i="1"/>
  <c r="P359" i="1"/>
  <c r="P165" i="1"/>
  <c r="Q359" i="1"/>
  <c r="Q165" i="1"/>
  <c r="R165" i="1"/>
  <c r="S165" i="1"/>
  <c r="T165" i="1"/>
  <c r="U165" i="1"/>
  <c r="W165" i="1"/>
  <c r="X165" i="1"/>
  <c r="Y165" i="1"/>
  <c r="D166" i="1"/>
  <c r="E166" i="1"/>
  <c r="F166" i="1"/>
  <c r="G166" i="1"/>
  <c r="H166" i="1"/>
  <c r="I166" i="1"/>
  <c r="J166" i="1"/>
  <c r="M166" i="1"/>
  <c r="N166" i="1"/>
  <c r="O166" i="1"/>
  <c r="P360" i="1"/>
  <c r="P166" i="1"/>
  <c r="Q360" i="1"/>
  <c r="Q166" i="1"/>
  <c r="R166" i="1"/>
  <c r="S166" i="1"/>
  <c r="T166" i="1"/>
  <c r="U166" i="1"/>
  <c r="W166" i="1"/>
  <c r="X166" i="1"/>
  <c r="Y166" i="1"/>
  <c r="D167" i="1"/>
  <c r="E167" i="1"/>
  <c r="F167" i="1"/>
  <c r="G167" i="1"/>
  <c r="H167" i="1"/>
  <c r="I167" i="1"/>
  <c r="J167" i="1"/>
  <c r="M167" i="1"/>
  <c r="N167" i="1"/>
  <c r="O167" i="1"/>
  <c r="P361" i="1"/>
  <c r="P167" i="1"/>
  <c r="Q361" i="1"/>
  <c r="Q167" i="1"/>
  <c r="R167" i="1"/>
  <c r="S167" i="1"/>
  <c r="T167" i="1"/>
  <c r="U167" i="1"/>
  <c r="W167" i="1"/>
  <c r="X167" i="1"/>
  <c r="Y167" i="1"/>
  <c r="D168" i="1"/>
  <c r="E168" i="1"/>
  <c r="F168" i="1"/>
  <c r="G168" i="1"/>
  <c r="H168" i="1"/>
  <c r="I168" i="1"/>
  <c r="J168" i="1"/>
  <c r="M168" i="1"/>
  <c r="N168" i="1"/>
  <c r="O168" i="1"/>
  <c r="P362" i="1"/>
  <c r="P168" i="1"/>
  <c r="Q362" i="1"/>
  <c r="Q168" i="1"/>
  <c r="R168" i="1"/>
  <c r="S168" i="1"/>
  <c r="T168" i="1"/>
  <c r="U168" i="1"/>
  <c r="W168" i="1"/>
  <c r="X168" i="1"/>
  <c r="Y168" i="1"/>
  <c r="D169" i="1"/>
  <c r="E169" i="1"/>
  <c r="F169" i="1"/>
  <c r="G169" i="1"/>
  <c r="H169" i="1"/>
  <c r="I169" i="1"/>
  <c r="J169" i="1"/>
  <c r="M169" i="1"/>
  <c r="N169" i="1"/>
  <c r="O169" i="1"/>
  <c r="P363" i="1"/>
  <c r="P169" i="1"/>
  <c r="Q363" i="1"/>
  <c r="Q169" i="1"/>
  <c r="R169" i="1"/>
  <c r="S169" i="1"/>
  <c r="T169" i="1"/>
  <c r="U169" i="1"/>
  <c r="W169" i="1"/>
  <c r="X169" i="1"/>
  <c r="Y169" i="1"/>
  <c r="D170" i="1"/>
  <c r="E170" i="1"/>
  <c r="F170" i="1"/>
  <c r="G170" i="1"/>
  <c r="H170" i="1"/>
  <c r="I170" i="1"/>
  <c r="J170" i="1"/>
  <c r="M170" i="1"/>
  <c r="N170" i="1"/>
  <c r="O170" i="1"/>
  <c r="P364" i="1"/>
  <c r="P170" i="1"/>
  <c r="Q364" i="1"/>
  <c r="Q170" i="1"/>
  <c r="R170" i="1"/>
  <c r="S170" i="1"/>
  <c r="T170" i="1"/>
  <c r="U170" i="1"/>
  <c r="W170" i="1"/>
  <c r="X170" i="1"/>
  <c r="Y170" i="1"/>
  <c r="D171" i="1"/>
  <c r="E171" i="1"/>
  <c r="F171" i="1"/>
  <c r="G171" i="1"/>
  <c r="I171" i="1"/>
  <c r="J171" i="1"/>
  <c r="M171" i="1"/>
  <c r="N171" i="1"/>
  <c r="O171" i="1"/>
  <c r="P365" i="1"/>
  <c r="P171" i="1"/>
  <c r="Q365" i="1"/>
  <c r="Q171" i="1"/>
  <c r="R171" i="1"/>
  <c r="S171" i="1"/>
  <c r="T171" i="1"/>
  <c r="U171" i="1"/>
  <c r="W171" i="1"/>
  <c r="X171" i="1"/>
  <c r="Y171" i="1"/>
  <c r="D172" i="1"/>
  <c r="E172" i="1"/>
  <c r="F172" i="1"/>
  <c r="G172" i="1"/>
  <c r="I172" i="1"/>
  <c r="J172" i="1"/>
  <c r="K172" i="1"/>
  <c r="M172" i="1"/>
  <c r="N172" i="1"/>
  <c r="O172" i="1"/>
  <c r="P366" i="1"/>
  <c r="P172" i="1"/>
  <c r="Q366" i="1"/>
  <c r="Q172" i="1"/>
  <c r="R172" i="1"/>
  <c r="S172" i="1"/>
  <c r="T172" i="1"/>
  <c r="U172" i="1"/>
  <c r="W172" i="1"/>
  <c r="X172" i="1"/>
  <c r="Y172" i="1"/>
  <c r="D173" i="1"/>
  <c r="E173" i="1"/>
  <c r="F173" i="1"/>
  <c r="G173" i="1"/>
  <c r="I173" i="1"/>
  <c r="J173" i="1"/>
  <c r="M173" i="1"/>
  <c r="N173" i="1"/>
  <c r="O173" i="1"/>
  <c r="P367" i="1"/>
  <c r="P173" i="1"/>
  <c r="Q367" i="1"/>
  <c r="Q173" i="1"/>
  <c r="R173" i="1"/>
  <c r="S173" i="1"/>
  <c r="T173" i="1"/>
  <c r="U173" i="1"/>
  <c r="W173" i="1"/>
  <c r="X173" i="1"/>
  <c r="Y173" i="1"/>
  <c r="D174" i="1"/>
  <c r="E174" i="1"/>
  <c r="F174" i="1"/>
  <c r="G174" i="1"/>
  <c r="H174" i="1"/>
  <c r="I174" i="1"/>
  <c r="J174" i="1"/>
  <c r="M174" i="1"/>
  <c r="N174" i="1"/>
  <c r="O174" i="1"/>
  <c r="P368" i="1"/>
  <c r="P174" i="1"/>
  <c r="Q368" i="1"/>
  <c r="Q174" i="1"/>
  <c r="R174" i="1"/>
  <c r="S174" i="1"/>
  <c r="T174" i="1"/>
  <c r="U174" i="1"/>
  <c r="W174" i="1"/>
  <c r="X174" i="1"/>
  <c r="Y174" i="1"/>
  <c r="D175" i="1"/>
  <c r="E175" i="1"/>
  <c r="F175" i="1"/>
  <c r="G175" i="1"/>
  <c r="H175" i="1"/>
  <c r="I175" i="1"/>
  <c r="J175" i="1"/>
  <c r="M175" i="1"/>
  <c r="N175" i="1"/>
  <c r="O175" i="1"/>
  <c r="P369" i="1"/>
  <c r="P175" i="1"/>
  <c r="Q369" i="1"/>
  <c r="Q175" i="1"/>
  <c r="R175" i="1"/>
  <c r="S175" i="1"/>
  <c r="T175" i="1"/>
  <c r="U175" i="1"/>
  <c r="W175" i="1"/>
  <c r="X175" i="1"/>
  <c r="Y175" i="1"/>
  <c r="D176" i="1"/>
  <c r="E176" i="1"/>
  <c r="F176" i="1"/>
  <c r="G176" i="1"/>
  <c r="H176" i="1"/>
  <c r="I176" i="1"/>
  <c r="J176" i="1"/>
  <c r="M176" i="1"/>
  <c r="N176" i="1"/>
  <c r="O176" i="1"/>
  <c r="P370" i="1"/>
  <c r="P176" i="1"/>
  <c r="Q370" i="1"/>
  <c r="Q176" i="1"/>
  <c r="R176" i="1"/>
  <c r="S176" i="1"/>
  <c r="T176" i="1"/>
  <c r="U176" i="1"/>
  <c r="W176" i="1"/>
  <c r="X176" i="1"/>
  <c r="Y176" i="1"/>
  <c r="D177" i="1"/>
  <c r="E177" i="1"/>
  <c r="F177" i="1"/>
  <c r="G177" i="1"/>
  <c r="H177" i="1"/>
  <c r="I177" i="1"/>
  <c r="J177" i="1"/>
  <c r="M177" i="1"/>
  <c r="N177" i="1"/>
  <c r="O177" i="1"/>
  <c r="P371" i="1"/>
  <c r="P177" i="1"/>
  <c r="Q371" i="1"/>
  <c r="Q177" i="1"/>
  <c r="R177" i="1"/>
  <c r="S177" i="1"/>
  <c r="T177" i="1"/>
  <c r="U177" i="1"/>
  <c r="W177" i="1"/>
  <c r="X177" i="1"/>
  <c r="Y177" i="1"/>
  <c r="D178" i="1"/>
  <c r="E178" i="1"/>
  <c r="F178" i="1"/>
  <c r="G178" i="1"/>
  <c r="H178" i="1"/>
  <c r="I178" i="1"/>
  <c r="J178" i="1"/>
  <c r="M178" i="1"/>
  <c r="N178" i="1"/>
  <c r="O178" i="1"/>
  <c r="P372" i="1"/>
  <c r="P178" i="1"/>
  <c r="Q372" i="1"/>
  <c r="Q178" i="1"/>
  <c r="R178" i="1"/>
  <c r="S178" i="1"/>
  <c r="T178" i="1"/>
  <c r="U178" i="1"/>
  <c r="W178" i="1"/>
  <c r="X178" i="1"/>
  <c r="Y178" i="1"/>
  <c r="D179" i="1"/>
  <c r="E179" i="1"/>
  <c r="F179" i="1"/>
  <c r="G179" i="1"/>
  <c r="H179" i="1"/>
  <c r="I179" i="1"/>
  <c r="J179" i="1"/>
  <c r="M179" i="1"/>
  <c r="N179" i="1"/>
  <c r="O179" i="1"/>
  <c r="P373" i="1"/>
  <c r="P179" i="1"/>
  <c r="Q373" i="1"/>
  <c r="Q179" i="1"/>
  <c r="R179" i="1"/>
  <c r="S179" i="1"/>
  <c r="T179" i="1"/>
  <c r="U179" i="1"/>
  <c r="W179" i="1"/>
  <c r="X179" i="1"/>
  <c r="Y179" i="1"/>
  <c r="D180" i="1"/>
  <c r="E180" i="1"/>
  <c r="F180" i="1"/>
  <c r="G180" i="1"/>
  <c r="H180" i="1"/>
  <c r="I180" i="1"/>
  <c r="J180" i="1"/>
  <c r="M180" i="1"/>
  <c r="N180" i="1"/>
  <c r="O180" i="1"/>
  <c r="P374" i="1"/>
  <c r="P180" i="1"/>
  <c r="Q374" i="1"/>
  <c r="Q180" i="1"/>
  <c r="R180" i="1"/>
  <c r="S180" i="1"/>
  <c r="T180" i="1"/>
  <c r="U180" i="1"/>
  <c r="W180" i="1"/>
  <c r="X180" i="1"/>
  <c r="Y180" i="1"/>
  <c r="D181" i="1"/>
  <c r="E181" i="1"/>
  <c r="F181" i="1"/>
  <c r="G181" i="1"/>
  <c r="H181" i="1"/>
  <c r="I181" i="1"/>
  <c r="J181" i="1"/>
  <c r="M181" i="1"/>
  <c r="N181" i="1"/>
  <c r="O181" i="1"/>
  <c r="P375" i="1"/>
  <c r="P181" i="1"/>
  <c r="Q375" i="1"/>
  <c r="Q181" i="1"/>
  <c r="R181" i="1"/>
  <c r="S181" i="1"/>
  <c r="T181" i="1"/>
  <c r="U181" i="1"/>
  <c r="W181" i="1"/>
  <c r="X181" i="1"/>
  <c r="Y181" i="1"/>
  <c r="D182" i="1"/>
  <c r="E182" i="1"/>
  <c r="F182" i="1"/>
  <c r="G182" i="1"/>
  <c r="H182" i="1"/>
  <c r="I182" i="1"/>
  <c r="J182" i="1"/>
  <c r="M182" i="1"/>
  <c r="N182" i="1"/>
  <c r="O182" i="1"/>
  <c r="P376" i="1"/>
  <c r="P182" i="1"/>
  <c r="Q376" i="1"/>
  <c r="Q182" i="1"/>
  <c r="R182" i="1"/>
  <c r="S182" i="1"/>
  <c r="T182" i="1"/>
  <c r="U182" i="1"/>
  <c r="W182" i="1"/>
  <c r="X182" i="1"/>
  <c r="Y182" i="1"/>
  <c r="D183" i="1"/>
  <c r="E183" i="1"/>
  <c r="F183" i="1"/>
  <c r="G183" i="1"/>
  <c r="H183" i="1"/>
  <c r="I183" i="1"/>
  <c r="J183" i="1"/>
  <c r="M183" i="1"/>
  <c r="N183" i="1"/>
  <c r="O183" i="1"/>
  <c r="P377" i="1"/>
  <c r="P183" i="1"/>
  <c r="Q377" i="1"/>
  <c r="Q183" i="1"/>
  <c r="R183" i="1"/>
  <c r="S183" i="1"/>
  <c r="T183" i="1"/>
  <c r="U183" i="1"/>
  <c r="W183" i="1"/>
  <c r="X183" i="1"/>
  <c r="Y183" i="1"/>
  <c r="D184" i="1"/>
  <c r="E184" i="1"/>
  <c r="F184" i="1"/>
  <c r="G184" i="1"/>
  <c r="H184" i="1"/>
  <c r="I184" i="1"/>
  <c r="J184" i="1"/>
  <c r="K184" i="1"/>
  <c r="M184" i="1"/>
  <c r="N184" i="1"/>
  <c r="O184" i="1"/>
  <c r="P378" i="1"/>
  <c r="P184" i="1"/>
  <c r="Q378" i="1"/>
  <c r="Q184" i="1"/>
  <c r="R184" i="1"/>
  <c r="S184" i="1"/>
  <c r="T184" i="1"/>
  <c r="U184" i="1"/>
  <c r="W184" i="1"/>
  <c r="X184" i="1"/>
  <c r="Y184" i="1"/>
  <c r="D185" i="1"/>
  <c r="E185" i="1"/>
  <c r="F185" i="1"/>
  <c r="G185" i="1"/>
  <c r="H185" i="1"/>
  <c r="I185" i="1"/>
  <c r="J185" i="1"/>
  <c r="M185" i="1"/>
  <c r="N185" i="1"/>
  <c r="O185" i="1"/>
  <c r="P379" i="1"/>
  <c r="P185" i="1"/>
  <c r="Q379" i="1"/>
  <c r="Q185" i="1"/>
  <c r="R185" i="1"/>
  <c r="S185" i="1"/>
  <c r="T185" i="1"/>
  <c r="U185" i="1"/>
  <c r="W185" i="1"/>
  <c r="X185" i="1"/>
  <c r="Y185" i="1"/>
  <c r="D186" i="1"/>
  <c r="E186" i="1"/>
  <c r="F186" i="1"/>
  <c r="G186" i="1"/>
  <c r="H186" i="1"/>
  <c r="I186" i="1"/>
  <c r="J186" i="1"/>
  <c r="M186" i="1"/>
  <c r="N186" i="1"/>
  <c r="O186" i="1"/>
  <c r="P380" i="1"/>
  <c r="P186" i="1"/>
  <c r="Q380" i="1"/>
  <c r="Q186" i="1"/>
  <c r="R186" i="1"/>
  <c r="S186" i="1"/>
  <c r="T186" i="1"/>
  <c r="U186" i="1"/>
  <c r="W186" i="1"/>
  <c r="X186" i="1"/>
  <c r="Y186" i="1"/>
  <c r="D187" i="1"/>
  <c r="E187" i="1"/>
  <c r="F187" i="1"/>
  <c r="G187" i="1"/>
  <c r="H187" i="1"/>
  <c r="I187" i="1"/>
  <c r="J187" i="1"/>
  <c r="M187" i="1"/>
  <c r="N187" i="1"/>
  <c r="O187" i="1"/>
  <c r="P381" i="1"/>
  <c r="P187" i="1"/>
  <c r="Q381" i="1"/>
  <c r="Q187" i="1"/>
  <c r="R187" i="1"/>
  <c r="S187" i="1"/>
  <c r="T187" i="1"/>
  <c r="U187" i="1"/>
  <c r="W187" i="1"/>
  <c r="X187" i="1"/>
  <c r="Y187" i="1"/>
  <c r="D188" i="1"/>
  <c r="E188" i="1"/>
  <c r="F188" i="1"/>
  <c r="G188" i="1"/>
  <c r="H188" i="1"/>
  <c r="I188" i="1"/>
  <c r="J188" i="1"/>
  <c r="M188" i="1"/>
  <c r="N188" i="1"/>
  <c r="O188" i="1"/>
  <c r="P382" i="1"/>
  <c r="P188" i="1"/>
  <c r="Q382" i="1"/>
  <c r="Q188" i="1"/>
  <c r="R188" i="1"/>
  <c r="S188" i="1"/>
  <c r="T188" i="1"/>
  <c r="U188" i="1"/>
  <c r="W188" i="1"/>
  <c r="X188" i="1"/>
  <c r="Y188" i="1"/>
  <c r="D189" i="1"/>
  <c r="E189" i="1"/>
  <c r="F189" i="1"/>
  <c r="G189" i="1"/>
  <c r="H189" i="1"/>
  <c r="I189" i="1"/>
  <c r="J189" i="1"/>
  <c r="M189" i="1"/>
  <c r="N189" i="1"/>
  <c r="O189" i="1"/>
  <c r="P383" i="1"/>
  <c r="P189" i="1"/>
  <c r="Q383" i="1"/>
  <c r="Q189" i="1"/>
  <c r="R189" i="1"/>
  <c r="S189" i="1"/>
  <c r="T189" i="1"/>
  <c r="U189" i="1"/>
  <c r="W189" i="1"/>
  <c r="X189" i="1"/>
  <c r="Y189" i="1"/>
  <c r="D190" i="1"/>
  <c r="E190" i="1"/>
  <c r="F190" i="1"/>
  <c r="G190" i="1"/>
  <c r="H190" i="1"/>
  <c r="I190" i="1"/>
  <c r="J190" i="1"/>
  <c r="M190" i="1"/>
  <c r="N190" i="1"/>
  <c r="O190" i="1"/>
  <c r="P384" i="1"/>
  <c r="P190" i="1"/>
  <c r="Q384" i="1"/>
  <c r="Q190" i="1"/>
  <c r="R190" i="1"/>
  <c r="S190" i="1"/>
  <c r="T190" i="1"/>
  <c r="U190" i="1"/>
  <c r="W190" i="1"/>
  <c r="X190" i="1"/>
  <c r="Y190" i="1"/>
  <c r="D191" i="1"/>
  <c r="E191" i="1"/>
  <c r="F191" i="1"/>
  <c r="G191" i="1"/>
  <c r="H191" i="1"/>
  <c r="I191" i="1"/>
  <c r="J191" i="1"/>
  <c r="M191" i="1"/>
  <c r="N191" i="1"/>
  <c r="O191" i="1"/>
  <c r="P385" i="1"/>
  <c r="P191" i="1"/>
  <c r="Q385" i="1"/>
  <c r="Q191" i="1"/>
  <c r="R191" i="1"/>
  <c r="S191" i="1"/>
  <c r="T191" i="1"/>
  <c r="U191" i="1"/>
  <c r="W191" i="1"/>
  <c r="X191" i="1"/>
  <c r="Y191" i="1"/>
  <c r="D192" i="1"/>
  <c r="E192" i="1"/>
  <c r="F192" i="1"/>
  <c r="G192" i="1"/>
  <c r="H192" i="1"/>
  <c r="I192" i="1"/>
  <c r="J192" i="1"/>
  <c r="M192" i="1"/>
  <c r="N192" i="1"/>
  <c r="O192" i="1"/>
  <c r="P386" i="1"/>
  <c r="P192" i="1"/>
  <c r="Q386" i="1"/>
  <c r="Q192" i="1"/>
  <c r="R192" i="1"/>
  <c r="S192" i="1"/>
  <c r="T192" i="1"/>
  <c r="U192" i="1"/>
  <c r="W192" i="1"/>
  <c r="X192" i="1"/>
  <c r="Y192" i="1"/>
  <c r="D193" i="1"/>
  <c r="E193" i="1"/>
  <c r="F193" i="1"/>
  <c r="G193" i="1"/>
  <c r="H193" i="1"/>
  <c r="I193" i="1"/>
  <c r="J193" i="1"/>
  <c r="M193" i="1"/>
  <c r="N193" i="1"/>
  <c r="O193" i="1"/>
  <c r="P387" i="1"/>
  <c r="P193" i="1"/>
  <c r="Q387" i="1"/>
  <c r="Q193" i="1"/>
  <c r="R193" i="1"/>
  <c r="S193" i="1"/>
  <c r="T193" i="1"/>
  <c r="U193" i="1"/>
  <c r="W193" i="1"/>
  <c r="X193" i="1"/>
  <c r="Y193" i="1"/>
  <c r="D194" i="1"/>
  <c r="E194" i="1"/>
  <c r="F194" i="1"/>
  <c r="G194" i="1"/>
  <c r="H194" i="1"/>
  <c r="I194" i="1"/>
  <c r="J194" i="1"/>
  <c r="M194" i="1"/>
  <c r="N194" i="1"/>
  <c r="O194" i="1"/>
  <c r="P388" i="1"/>
  <c r="P194" i="1"/>
  <c r="Q388" i="1"/>
  <c r="Q194" i="1"/>
  <c r="R194" i="1"/>
  <c r="S194" i="1"/>
  <c r="T194" i="1"/>
  <c r="U194" i="1"/>
  <c r="W194" i="1"/>
  <c r="X194" i="1"/>
  <c r="Y194" i="1"/>
  <c r="D195" i="1"/>
  <c r="E195" i="1"/>
  <c r="F195" i="1"/>
  <c r="G195" i="1"/>
  <c r="H195" i="1"/>
  <c r="I195" i="1"/>
  <c r="J195" i="1"/>
  <c r="M195" i="1"/>
  <c r="N195" i="1"/>
  <c r="O195" i="1"/>
  <c r="P389" i="1"/>
  <c r="P195" i="1"/>
  <c r="Q389" i="1"/>
  <c r="Q195" i="1"/>
  <c r="R195" i="1"/>
  <c r="S195" i="1"/>
  <c r="T195" i="1"/>
  <c r="U195" i="1"/>
  <c r="W195" i="1"/>
  <c r="X195" i="1"/>
  <c r="Y195" i="1"/>
  <c r="D196" i="1"/>
  <c r="E196" i="1"/>
  <c r="F196" i="1"/>
  <c r="G196" i="1"/>
  <c r="H196" i="1"/>
  <c r="I196" i="1"/>
  <c r="J196" i="1"/>
  <c r="K196" i="1"/>
  <c r="M196" i="1"/>
  <c r="N196" i="1"/>
  <c r="O196" i="1"/>
  <c r="P390" i="1"/>
  <c r="P196" i="1"/>
  <c r="Q390" i="1"/>
  <c r="Q196" i="1"/>
  <c r="R196" i="1"/>
  <c r="S196" i="1"/>
  <c r="T196" i="1"/>
  <c r="U196" i="1"/>
  <c r="W196" i="1"/>
  <c r="X196" i="1"/>
  <c r="Y196" i="1"/>
  <c r="D197" i="1"/>
  <c r="E197" i="1"/>
  <c r="F197" i="1"/>
  <c r="G197" i="1"/>
  <c r="H197" i="1"/>
  <c r="I197" i="1"/>
  <c r="J197" i="1"/>
  <c r="M197" i="1"/>
  <c r="N197" i="1"/>
  <c r="O197" i="1"/>
  <c r="P391" i="1"/>
  <c r="P197" i="1"/>
  <c r="Q391" i="1"/>
  <c r="Q197" i="1"/>
  <c r="R197" i="1"/>
  <c r="S197" i="1"/>
  <c r="T197" i="1"/>
  <c r="U197" i="1"/>
  <c r="W197" i="1"/>
  <c r="X197" i="1"/>
  <c r="Y197" i="1"/>
  <c r="D198" i="1"/>
  <c r="E198" i="1"/>
  <c r="F198" i="1"/>
  <c r="G198" i="1"/>
  <c r="H198" i="1"/>
  <c r="I198" i="1"/>
  <c r="J198" i="1"/>
  <c r="M198" i="1"/>
  <c r="N198" i="1"/>
  <c r="O198" i="1"/>
  <c r="P392" i="1"/>
  <c r="P198" i="1"/>
  <c r="Q392" i="1"/>
  <c r="Q198" i="1"/>
  <c r="R198" i="1"/>
  <c r="S198" i="1"/>
  <c r="T198" i="1"/>
  <c r="U198" i="1"/>
  <c r="W198" i="1"/>
  <c r="X198" i="1"/>
  <c r="Y198" i="1"/>
  <c r="D199" i="1"/>
  <c r="E199" i="1"/>
  <c r="F199" i="1"/>
  <c r="G199" i="1"/>
  <c r="H199" i="1"/>
  <c r="I199" i="1"/>
  <c r="J199" i="1"/>
  <c r="M199" i="1"/>
  <c r="N199" i="1"/>
  <c r="O199" i="1"/>
  <c r="P393" i="1"/>
  <c r="P199" i="1"/>
  <c r="Q393" i="1"/>
  <c r="Q199" i="1"/>
  <c r="R199" i="1"/>
  <c r="S199" i="1"/>
  <c r="T199" i="1"/>
  <c r="U199" i="1"/>
  <c r="W199" i="1"/>
  <c r="X199" i="1"/>
  <c r="Y199" i="1"/>
  <c r="D200" i="1"/>
  <c r="E200" i="1"/>
  <c r="F200" i="1"/>
  <c r="G200" i="1"/>
  <c r="H200" i="1"/>
  <c r="I200" i="1"/>
  <c r="J200" i="1"/>
  <c r="M200" i="1"/>
  <c r="N200" i="1"/>
  <c r="O200" i="1"/>
  <c r="P394" i="1"/>
  <c r="P200" i="1"/>
  <c r="Q394" i="1"/>
  <c r="Q200" i="1"/>
  <c r="R200" i="1"/>
  <c r="S200" i="1"/>
  <c r="T200" i="1"/>
  <c r="U200" i="1"/>
  <c r="W200" i="1"/>
  <c r="X200" i="1"/>
  <c r="Y200" i="1"/>
  <c r="D201" i="1"/>
  <c r="E201" i="1"/>
  <c r="F201" i="1"/>
  <c r="G201" i="1"/>
  <c r="H201" i="1"/>
  <c r="I201" i="1"/>
  <c r="J201" i="1"/>
  <c r="M201" i="1"/>
  <c r="N201" i="1"/>
  <c r="O201" i="1"/>
  <c r="P395" i="1"/>
  <c r="P201" i="1"/>
  <c r="Q395" i="1"/>
  <c r="Q201" i="1"/>
  <c r="R201" i="1"/>
  <c r="S201" i="1"/>
  <c r="T201" i="1"/>
  <c r="U201" i="1"/>
  <c r="W201" i="1"/>
  <c r="X201" i="1"/>
  <c r="Y201" i="1"/>
  <c r="D202" i="1"/>
  <c r="E202" i="1"/>
  <c r="F202" i="1"/>
  <c r="G202" i="1"/>
  <c r="H202" i="1"/>
  <c r="I202" i="1"/>
  <c r="J202" i="1"/>
  <c r="M202" i="1"/>
  <c r="N202" i="1"/>
  <c r="O202" i="1"/>
  <c r="P396" i="1"/>
  <c r="P202" i="1"/>
  <c r="Q396" i="1"/>
  <c r="Q202" i="1"/>
  <c r="R202" i="1"/>
  <c r="S202" i="1"/>
  <c r="T202" i="1"/>
  <c r="U202" i="1"/>
  <c r="W202" i="1"/>
  <c r="X202" i="1"/>
  <c r="Y202" i="1"/>
  <c r="D203" i="1"/>
  <c r="E203" i="1"/>
  <c r="F203" i="1"/>
  <c r="G203" i="1"/>
  <c r="H203" i="1"/>
  <c r="I203" i="1"/>
  <c r="J203" i="1"/>
  <c r="M203" i="1"/>
  <c r="N203" i="1"/>
  <c r="O203" i="1"/>
  <c r="P397" i="1"/>
  <c r="P203" i="1"/>
  <c r="Q397" i="1"/>
  <c r="Q203" i="1"/>
  <c r="R203" i="1"/>
  <c r="S203" i="1"/>
  <c r="T203" i="1"/>
  <c r="U203" i="1"/>
  <c r="W203" i="1"/>
  <c r="X203" i="1"/>
  <c r="Y203" i="1"/>
  <c r="D204" i="1"/>
  <c r="E204" i="1"/>
  <c r="F204" i="1"/>
  <c r="G204" i="1"/>
  <c r="H204" i="1"/>
  <c r="I204" i="1"/>
  <c r="J204" i="1"/>
  <c r="M204" i="1"/>
  <c r="N204" i="1"/>
  <c r="O204" i="1"/>
  <c r="P398" i="1"/>
  <c r="P204" i="1"/>
  <c r="Q398" i="1"/>
  <c r="Q204" i="1"/>
  <c r="R204" i="1"/>
  <c r="S204" i="1"/>
  <c r="T204" i="1"/>
  <c r="U204" i="1"/>
  <c r="W204" i="1"/>
  <c r="X204" i="1"/>
  <c r="Y204" i="1"/>
  <c r="D205" i="1"/>
  <c r="E205" i="1"/>
  <c r="F205" i="1"/>
  <c r="G205" i="1"/>
  <c r="H205" i="1"/>
  <c r="I205" i="1"/>
  <c r="J205" i="1"/>
  <c r="M205" i="1"/>
  <c r="N205" i="1"/>
  <c r="O205" i="1"/>
  <c r="P399" i="1"/>
  <c r="P205" i="1"/>
  <c r="Q399" i="1"/>
  <c r="Q205" i="1"/>
  <c r="R205" i="1"/>
  <c r="S205" i="1"/>
  <c r="T205" i="1"/>
  <c r="U205" i="1"/>
  <c r="W205" i="1"/>
  <c r="X205" i="1"/>
  <c r="Y205" i="1"/>
  <c r="D206" i="1"/>
  <c r="E206" i="1"/>
  <c r="F206" i="1"/>
  <c r="G206" i="1"/>
  <c r="H206" i="1"/>
  <c r="I206" i="1"/>
  <c r="J206" i="1"/>
  <c r="M206" i="1"/>
  <c r="N206" i="1"/>
  <c r="O206" i="1"/>
  <c r="P400" i="1"/>
  <c r="P206" i="1"/>
  <c r="Q400" i="1"/>
  <c r="Q206" i="1"/>
  <c r="R206" i="1"/>
  <c r="S206" i="1"/>
  <c r="T206" i="1"/>
  <c r="U206" i="1"/>
  <c r="W206" i="1"/>
  <c r="X206" i="1"/>
  <c r="Y206" i="1"/>
  <c r="D207" i="1"/>
  <c r="E207" i="1"/>
  <c r="F207" i="1"/>
  <c r="G207" i="1"/>
  <c r="H207" i="1"/>
  <c r="I207" i="1"/>
  <c r="J207" i="1"/>
  <c r="M207" i="1"/>
  <c r="N207" i="1"/>
  <c r="O207" i="1"/>
  <c r="P401" i="1"/>
  <c r="P207" i="1"/>
  <c r="Q401" i="1"/>
  <c r="Q207" i="1"/>
  <c r="R207" i="1"/>
  <c r="S207" i="1"/>
  <c r="T207" i="1"/>
  <c r="U207" i="1"/>
  <c r="W207" i="1"/>
  <c r="X207" i="1"/>
  <c r="Y207" i="1"/>
  <c r="D208" i="1"/>
  <c r="E208" i="1"/>
  <c r="F208" i="1"/>
  <c r="G208" i="1"/>
  <c r="H208" i="1"/>
  <c r="I208" i="1"/>
  <c r="J208" i="1"/>
  <c r="K208" i="1"/>
  <c r="M208" i="1"/>
  <c r="N208" i="1"/>
  <c r="O208" i="1"/>
  <c r="P402" i="1"/>
  <c r="P208" i="1"/>
  <c r="Q402" i="1"/>
  <c r="Q208" i="1"/>
  <c r="R208" i="1"/>
  <c r="S208" i="1"/>
  <c r="T208" i="1"/>
  <c r="U208" i="1"/>
  <c r="W208" i="1"/>
  <c r="X208" i="1"/>
  <c r="Y208" i="1"/>
  <c r="D209" i="1"/>
  <c r="E209" i="1"/>
  <c r="F209" i="1"/>
  <c r="G209" i="1"/>
  <c r="H209" i="1"/>
  <c r="I209" i="1"/>
  <c r="J209" i="1"/>
  <c r="M209" i="1"/>
  <c r="N209" i="1"/>
  <c r="O209" i="1"/>
  <c r="P403" i="1"/>
  <c r="P209" i="1"/>
  <c r="Q403" i="1"/>
  <c r="Q209" i="1"/>
  <c r="R209" i="1"/>
  <c r="S209" i="1"/>
  <c r="T209" i="1"/>
  <c r="U209" i="1"/>
  <c r="W209" i="1"/>
  <c r="X209" i="1"/>
  <c r="Y209" i="1"/>
  <c r="D210" i="1"/>
  <c r="E210" i="1"/>
  <c r="F210" i="1"/>
  <c r="G210" i="1"/>
  <c r="H210" i="1"/>
  <c r="I210" i="1"/>
  <c r="J210" i="1"/>
  <c r="M210" i="1"/>
  <c r="N210" i="1"/>
  <c r="O210" i="1"/>
  <c r="P404" i="1"/>
  <c r="P210" i="1"/>
  <c r="Q404" i="1"/>
  <c r="Q210" i="1"/>
  <c r="R210" i="1"/>
  <c r="S210" i="1"/>
  <c r="T210" i="1"/>
  <c r="U210" i="1"/>
  <c r="W210" i="1"/>
  <c r="X210" i="1"/>
  <c r="Y210" i="1"/>
  <c r="D211" i="1"/>
  <c r="E211" i="1"/>
  <c r="F211" i="1"/>
  <c r="G211" i="1"/>
  <c r="H211" i="1"/>
  <c r="I211" i="1"/>
  <c r="J211" i="1"/>
  <c r="M211" i="1"/>
  <c r="N211" i="1"/>
  <c r="O211" i="1"/>
  <c r="P405" i="1"/>
  <c r="P211" i="1"/>
  <c r="Q405" i="1"/>
  <c r="Q211" i="1"/>
  <c r="R211" i="1"/>
  <c r="S211" i="1"/>
  <c r="T211" i="1"/>
  <c r="U211" i="1"/>
  <c r="W211" i="1"/>
  <c r="X211" i="1"/>
  <c r="Y211" i="1"/>
  <c r="D212" i="1"/>
  <c r="E212" i="1"/>
  <c r="F212" i="1"/>
  <c r="G212" i="1"/>
  <c r="H212" i="1"/>
  <c r="I212" i="1"/>
  <c r="J212" i="1"/>
  <c r="M212" i="1"/>
  <c r="N212" i="1"/>
  <c r="O212" i="1"/>
  <c r="P406" i="1"/>
  <c r="P212" i="1"/>
  <c r="Q406" i="1"/>
  <c r="Q212" i="1"/>
  <c r="R212" i="1"/>
  <c r="S212" i="1"/>
  <c r="T212" i="1"/>
  <c r="U212" i="1"/>
  <c r="W212" i="1"/>
  <c r="X212" i="1"/>
  <c r="Y212" i="1"/>
  <c r="D213" i="1"/>
  <c r="E213" i="1"/>
  <c r="F213" i="1"/>
  <c r="G213" i="1"/>
  <c r="H213" i="1"/>
  <c r="I213" i="1"/>
  <c r="J213" i="1"/>
  <c r="M213" i="1"/>
  <c r="N213" i="1"/>
  <c r="O213" i="1"/>
  <c r="P407" i="1"/>
  <c r="P213" i="1"/>
  <c r="Q407" i="1"/>
  <c r="Q213" i="1"/>
  <c r="R213" i="1"/>
  <c r="S213" i="1"/>
  <c r="T213" i="1"/>
  <c r="U213" i="1"/>
  <c r="W213" i="1"/>
  <c r="X213" i="1"/>
  <c r="Y213" i="1"/>
  <c r="D214" i="1"/>
  <c r="E214" i="1"/>
  <c r="F214" i="1"/>
  <c r="G214" i="1"/>
  <c r="H214" i="1"/>
  <c r="I214" i="1"/>
  <c r="J214" i="1"/>
  <c r="M214" i="1"/>
  <c r="N214" i="1"/>
  <c r="O214" i="1"/>
  <c r="P408" i="1"/>
  <c r="P214" i="1"/>
  <c r="Q408" i="1"/>
  <c r="Q214" i="1"/>
  <c r="R214" i="1"/>
  <c r="S214" i="1"/>
  <c r="T214" i="1"/>
  <c r="U214" i="1"/>
  <c r="W214" i="1"/>
  <c r="X214" i="1"/>
  <c r="Y214" i="1"/>
  <c r="D215" i="1"/>
  <c r="E215" i="1"/>
  <c r="F215" i="1"/>
  <c r="G215" i="1"/>
  <c r="H215" i="1"/>
  <c r="I215" i="1"/>
  <c r="J215" i="1"/>
  <c r="M215" i="1"/>
  <c r="N215" i="1"/>
  <c r="O215" i="1"/>
  <c r="P409" i="1"/>
  <c r="P215" i="1"/>
  <c r="Q409" i="1"/>
  <c r="Q215" i="1"/>
  <c r="R215" i="1"/>
  <c r="S215" i="1"/>
  <c r="T215" i="1"/>
  <c r="U215" i="1"/>
  <c r="W215" i="1"/>
  <c r="X215" i="1"/>
  <c r="Y215" i="1"/>
  <c r="D216" i="1"/>
  <c r="E216" i="1"/>
  <c r="F216" i="1"/>
  <c r="G216" i="1"/>
  <c r="H216" i="1"/>
  <c r="I216" i="1"/>
  <c r="J216" i="1"/>
  <c r="M216" i="1"/>
  <c r="N216" i="1"/>
  <c r="O216" i="1"/>
  <c r="P410" i="1"/>
  <c r="P216" i="1"/>
  <c r="Q410" i="1"/>
  <c r="Q216" i="1"/>
  <c r="R216" i="1"/>
  <c r="S216" i="1"/>
  <c r="T216" i="1"/>
  <c r="U216" i="1"/>
  <c r="W216" i="1"/>
  <c r="X216" i="1"/>
  <c r="Y216" i="1"/>
  <c r="D217" i="1"/>
  <c r="E217" i="1"/>
  <c r="F217" i="1"/>
  <c r="G217" i="1"/>
  <c r="H217" i="1"/>
  <c r="I217" i="1"/>
  <c r="J217" i="1"/>
  <c r="M217" i="1"/>
  <c r="N217" i="1"/>
  <c r="O217" i="1"/>
  <c r="P411" i="1"/>
  <c r="P217" i="1"/>
  <c r="Q411" i="1"/>
  <c r="Q217" i="1"/>
  <c r="R217" i="1"/>
  <c r="S217" i="1"/>
  <c r="T217" i="1"/>
  <c r="U217" i="1"/>
  <c r="W217" i="1"/>
  <c r="X217" i="1"/>
  <c r="Y217" i="1"/>
  <c r="D218" i="1"/>
  <c r="E218" i="1"/>
  <c r="F218" i="1"/>
  <c r="G218" i="1"/>
  <c r="H218" i="1"/>
  <c r="I218" i="1"/>
  <c r="J218" i="1"/>
  <c r="M218" i="1"/>
  <c r="N218" i="1"/>
  <c r="O218" i="1"/>
  <c r="P412" i="1"/>
  <c r="P218" i="1"/>
  <c r="Q412" i="1"/>
  <c r="Q218" i="1"/>
  <c r="R218" i="1"/>
  <c r="S218" i="1"/>
  <c r="T218" i="1"/>
  <c r="U218" i="1"/>
  <c r="W218" i="1"/>
  <c r="X218" i="1"/>
  <c r="Y218" i="1"/>
  <c r="D219" i="1"/>
  <c r="E219" i="1"/>
  <c r="F219" i="1"/>
  <c r="G219" i="1"/>
  <c r="H219" i="1"/>
  <c r="I219" i="1"/>
  <c r="J219" i="1"/>
  <c r="M219" i="1"/>
  <c r="N219" i="1"/>
  <c r="O219" i="1"/>
  <c r="P413" i="1"/>
  <c r="P219" i="1"/>
  <c r="Q413" i="1"/>
  <c r="Q219" i="1"/>
  <c r="R219" i="1"/>
  <c r="S219" i="1"/>
  <c r="T219" i="1"/>
  <c r="U219" i="1"/>
  <c r="W219" i="1"/>
  <c r="X219" i="1"/>
  <c r="Y219" i="1"/>
  <c r="D220" i="1"/>
  <c r="E220" i="1"/>
  <c r="F220" i="1"/>
  <c r="G220" i="1"/>
  <c r="H220" i="1"/>
  <c r="I220" i="1"/>
  <c r="J220" i="1"/>
  <c r="K220" i="1"/>
  <c r="M220" i="1"/>
  <c r="N220" i="1"/>
  <c r="O220" i="1"/>
  <c r="P414" i="1"/>
  <c r="P220" i="1"/>
  <c r="Q414" i="1"/>
  <c r="Q220" i="1"/>
  <c r="R220" i="1"/>
  <c r="S220" i="1"/>
  <c r="T220" i="1"/>
  <c r="U220" i="1"/>
  <c r="W220" i="1"/>
  <c r="X220" i="1"/>
  <c r="Y220" i="1"/>
  <c r="D221" i="1"/>
  <c r="E221" i="1"/>
  <c r="F221" i="1"/>
  <c r="G221" i="1"/>
  <c r="H221" i="1"/>
  <c r="I221" i="1"/>
  <c r="J221" i="1"/>
  <c r="M221" i="1"/>
  <c r="N221" i="1"/>
  <c r="O221" i="1"/>
  <c r="P415" i="1"/>
  <c r="P221" i="1"/>
  <c r="Q415" i="1"/>
  <c r="Q221" i="1"/>
  <c r="R221" i="1"/>
  <c r="S221" i="1"/>
  <c r="T221" i="1"/>
  <c r="U221" i="1"/>
  <c r="W221" i="1"/>
  <c r="X221" i="1"/>
  <c r="Y221" i="1"/>
  <c r="D222" i="1"/>
  <c r="E222" i="1"/>
  <c r="F222" i="1"/>
  <c r="G222" i="1"/>
  <c r="H222" i="1"/>
  <c r="I222" i="1"/>
  <c r="J222" i="1"/>
  <c r="M222" i="1"/>
  <c r="N222" i="1"/>
  <c r="O222" i="1"/>
  <c r="P416" i="1"/>
  <c r="P222" i="1"/>
  <c r="Q416" i="1"/>
  <c r="Q222" i="1"/>
  <c r="R222" i="1"/>
  <c r="S222" i="1"/>
  <c r="T222" i="1"/>
  <c r="U222" i="1"/>
  <c r="W222" i="1"/>
  <c r="X222" i="1"/>
  <c r="Y222" i="1"/>
  <c r="D223" i="1"/>
  <c r="E223" i="1"/>
  <c r="F223" i="1"/>
  <c r="G223" i="1"/>
  <c r="H223" i="1"/>
  <c r="I223" i="1"/>
  <c r="J223" i="1"/>
  <c r="M223" i="1"/>
  <c r="N223" i="1"/>
  <c r="O223" i="1"/>
  <c r="P417" i="1"/>
  <c r="P223" i="1"/>
  <c r="Q417" i="1"/>
  <c r="Q223" i="1"/>
  <c r="R223" i="1"/>
  <c r="S223" i="1"/>
  <c r="T223" i="1"/>
  <c r="U223" i="1"/>
  <c r="W223" i="1"/>
  <c r="X223" i="1"/>
  <c r="Y223" i="1"/>
  <c r="D224" i="1"/>
  <c r="E224" i="1"/>
  <c r="F224" i="1"/>
  <c r="G224" i="1"/>
  <c r="H224" i="1"/>
  <c r="I224" i="1"/>
  <c r="J224" i="1"/>
  <c r="M224" i="1"/>
  <c r="N224" i="1"/>
  <c r="O224" i="1"/>
  <c r="P418" i="1"/>
  <c r="P224" i="1"/>
  <c r="Q418" i="1"/>
  <c r="Q224" i="1"/>
  <c r="R224" i="1"/>
  <c r="S224" i="1"/>
  <c r="T224" i="1"/>
  <c r="U224" i="1"/>
  <c r="W224" i="1"/>
  <c r="X224" i="1"/>
  <c r="Y224" i="1"/>
  <c r="D225" i="1"/>
  <c r="E225" i="1"/>
  <c r="F225" i="1"/>
  <c r="G225" i="1"/>
  <c r="H225" i="1"/>
  <c r="I225" i="1"/>
  <c r="J225" i="1"/>
  <c r="M225" i="1"/>
  <c r="N225" i="1"/>
  <c r="O225" i="1"/>
  <c r="P419" i="1"/>
  <c r="P225" i="1"/>
  <c r="Q419" i="1"/>
  <c r="Q225" i="1"/>
  <c r="R225" i="1"/>
  <c r="S225" i="1"/>
  <c r="T225" i="1"/>
  <c r="U225" i="1"/>
  <c r="W225" i="1"/>
  <c r="X225" i="1"/>
  <c r="Y225" i="1"/>
  <c r="D226" i="1"/>
  <c r="E226" i="1"/>
  <c r="F226" i="1"/>
  <c r="G226" i="1"/>
  <c r="H226" i="1"/>
  <c r="I226" i="1"/>
  <c r="J226" i="1"/>
  <c r="M226" i="1"/>
  <c r="N226" i="1"/>
  <c r="O226" i="1"/>
  <c r="P420" i="1"/>
  <c r="P226" i="1"/>
  <c r="Q420" i="1"/>
  <c r="Q226" i="1"/>
  <c r="R226" i="1"/>
  <c r="S226" i="1"/>
  <c r="T226" i="1"/>
  <c r="U226" i="1"/>
  <c r="W226" i="1"/>
  <c r="X226" i="1"/>
  <c r="Y226" i="1"/>
  <c r="D227" i="1"/>
  <c r="E227" i="1"/>
  <c r="F227" i="1"/>
  <c r="G227" i="1"/>
  <c r="H227" i="1"/>
  <c r="I227" i="1"/>
  <c r="J227" i="1"/>
  <c r="M227" i="1"/>
  <c r="N227" i="1"/>
  <c r="O227" i="1"/>
  <c r="P421" i="1"/>
  <c r="P227" i="1"/>
  <c r="Q421" i="1"/>
  <c r="Q227" i="1"/>
  <c r="R227" i="1"/>
  <c r="S227" i="1"/>
  <c r="T227" i="1"/>
  <c r="U227" i="1"/>
  <c r="W227" i="1"/>
  <c r="X227" i="1"/>
  <c r="Y227" i="1"/>
  <c r="D228" i="1"/>
  <c r="E228" i="1"/>
  <c r="F228" i="1"/>
  <c r="G228" i="1"/>
  <c r="H228" i="1"/>
  <c r="I228" i="1"/>
  <c r="J228" i="1"/>
  <c r="M228" i="1"/>
  <c r="N228" i="1"/>
  <c r="O228" i="1"/>
  <c r="P422" i="1"/>
  <c r="P228" i="1"/>
  <c r="Q422" i="1"/>
  <c r="Q228" i="1"/>
  <c r="R228" i="1"/>
  <c r="S228" i="1"/>
  <c r="T228" i="1"/>
  <c r="U228" i="1"/>
  <c r="W228" i="1"/>
  <c r="X228" i="1"/>
  <c r="Y228" i="1"/>
  <c r="D229" i="1"/>
  <c r="E229" i="1"/>
  <c r="F229" i="1"/>
  <c r="G229" i="1"/>
  <c r="H229" i="1"/>
  <c r="I229" i="1"/>
  <c r="J229" i="1"/>
  <c r="M229" i="1"/>
  <c r="N229" i="1"/>
  <c r="O229" i="1"/>
  <c r="P423" i="1"/>
  <c r="P229" i="1"/>
  <c r="Q423" i="1"/>
  <c r="Q229" i="1"/>
  <c r="R229" i="1"/>
  <c r="S229" i="1"/>
  <c r="T229" i="1"/>
  <c r="U229" i="1"/>
  <c r="W229" i="1"/>
  <c r="X229" i="1"/>
  <c r="Y229" i="1"/>
  <c r="D230" i="1"/>
  <c r="E230" i="1"/>
  <c r="F230" i="1"/>
  <c r="G230" i="1"/>
  <c r="H230" i="1"/>
  <c r="I230" i="1"/>
  <c r="J230" i="1"/>
  <c r="M230" i="1"/>
  <c r="N230" i="1"/>
  <c r="O230" i="1"/>
  <c r="P424" i="1"/>
  <c r="P230" i="1"/>
  <c r="Q424" i="1"/>
  <c r="Q230" i="1"/>
  <c r="R230" i="1"/>
  <c r="S230" i="1"/>
  <c r="T230" i="1"/>
  <c r="U230" i="1"/>
  <c r="W230" i="1"/>
  <c r="X230" i="1"/>
  <c r="Y230" i="1"/>
  <c r="D231" i="1"/>
  <c r="E231" i="1"/>
  <c r="F231" i="1"/>
  <c r="G231" i="1"/>
  <c r="H231" i="1"/>
  <c r="I231" i="1"/>
  <c r="J231" i="1"/>
  <c r="M231" i="1"/>
  <c r="N231" i="1"/>
  <c r="O231" i="1"/>
  <c r="P425" i="1"/>
  <c r="P231" i="1"/>
  <c r="Q425" i="1"/>
  <c r="Q231" i="1"/>
  <c r="R231" i="1"/>
  <c r="S231" i="1"/>
  <c r="T231" i="1"/>
  <c r="U231" i="1"/>
  <c r="W231" i="1"/>
  <c r="X231" i="1"/>
  <c r="Y231" i="1"/>
  <c r="D232" i="1"/>
  <c r="E232" i="1"/>
  <c r="F232" i="1"/>
  <c r="G232" i="1"/>
  <c r="H232" i="1"/>
  <c r="I232" i="1"/>
  <c r="J232" i="1"/>
  <c r="K232" i="1"/>
  <c r="M232" i="1"/>
  <c r="N232" i="1"/>
  <c r="O232" i="1"/>
  <c r="P426" i="1"/>
  <c r="P232" i="1"/>
  <c r="Q426" i="1"/>
  <c r="Q232" i="1"/>
  <c r="S232" i="1"/>
  <c r="T232" i="1"/>
  <c r="U232" i="1"/>
  <c r="W232" i="1"/>
  <c r="X232" i="1"/>
  <c r="Y232" i="1"/>
  <c r="D233" i="1"/>
  <c r="E233" i="1"/>
  <c r="F233" i="1"/>
  <c r="G233" i="1"/>
  <c r="H233" i="1"/>
  <c r="I233" i="1"/>
  <c r="J233" i="1"/>
  <c r="M233" i="1"/>
  <c r="N233" i="1"/>
  <c r="O233" i="1"/>
  <c r="P427" i="1"/>
  <c r="P233" i="1"/>
  <c r="Q427" i="1"/>
  <c r="Q233" i="1"/>
  <c r="S233" i="1"/>
  <c r="T233" i="1"/>
  <c r="U233" i="1"/>
  <c r="W233" i="1"/>
  <c r="X233" i="1"/>
  <c r="Y233" i="1"/>
  <c r="D234" i="1"/>
  <c r="E234" i="1"/>
  <c r="F234" i="1"/>
  <c r="G234" i="1"/>
  <c r="H234" i="1"/>
  <c r="I234" i="1"/>
  <c r="J234" i="1"/>
  <c r="M234" i="1"/>
  <c r="N234" i="1"/>
  <c r="O234" i="1"/>
  <c r="P428" i="1"/>
  <c r="P234" i="1"/>
  <c r="Q428" i="1"/>
  <c r="Q234" i="1"/>
  <c r="S234" i="1"/>
  <c r="T234" i="1"/>
  <c r="U234" i="1"/>
  <c r="W234" i="1"/>
  <c r="X234" i="1"/>
  <c r="Y234" i="1"/>
  <c r="D235" i="1"/>
  <c r="E235" i="1"/>
  <c r="F235" i="1"/>
  <c r="G235" i="1"/>
  <c r="H235" i="1"/>
  <c r="I235" i="1"/>
  <c r="J235" i="1"/>
  <c r="M235" i="1"/>
  <c r="N235" i="1"/>
  <c r="O235" i="1"/>
  <c r="P429" i="1"/>
  <c r="P235" i="1"/>
  <c r="Q429" i="1"/>
  <c r="Q235" i="1"/>
  <c r="S235" i="1"/>
  <c r="T235" i="1"/>
  <c r="U235" i="1"/>
  <c r="W235" i="1"/>
  <c r="X235" i="1"/>
  <c r="Y235" i="1"/>
  <c r="D236" i="1"/>
  <c r="E236" i="1"/>
  <c r="F236" i="1"/>
  <c r="G236" i="1"/>
  <c r="H236" i="1"/>
  <c r="I236" i="1"/>
  <c r="J236" i="1"/>
  <c r="M236" i="1"/>
  <c r="N236" i="1"/>
  <c r="O236" i="1"/>
  <c r="P430" i="1"/>
  <c r="P236" i="1"/>
  <c r="Q430" i="1"/>
  <c r="Q236" i="1"/>
  <c r="S236" i="1"/>
  <c r="T236" i="1"/>
  <c r="U236" i="1"/>
  <c r="W236" i="1"/>
  <c r="X236" i="1"/>
  <c r="Y236" i="1"/>
  <c r="D237" i="1"/>
  <c r="E237" i="1"/>
  <c r="F237" i="1"/>
  <c r="G237" i="1"/>
  <c r="H237" i="1"/>
  <c r="I237" i="1"/>
  <c r="J237" i="1"/>
  <c r="M237" i="1"/>
  <c r="N237" i="1"/>
  <c r="O237" i="1"/>
  <c r="P431" i="1"/>
  <c r="P237" i="1"/>
  <c r="Q431" i="1"/>
  <c r="Q237" i="1"/>
  <c r="S237" i="1"/>
  <c r="T237" i="1"/>
  <c r="U237" i="1"/>
  <c r="W237" i="1"/>
  <c r="X237" i="1"/>
  <c r="Y237" i="1"/>
  <c r="D238" i="1"/>
  <c r="E238" i="1"/>
  <c r="F238" i="1"/>
  <c r="G238" i="1"/>
  <c r="H238" i="1"/>
  <c r="I238" i="1"/>
  <c r="J238" i="1"/>
  <c r="M238" i="1"/>
  <c r="N238" i="1"/>
  <c r="O238" i="1"/>
  <c r="P432" i="1"/>
  <c r="P238" i="1"/>
  <c r="Q432" i="1"/>
  <c r="Q238" i="1"/>
  <c r="S238" i="1"/>
  <c r="T238" i="1"/>
  <c r="U238" i="1"/>
  <c r="W238" i="1"/>
  <c r="X238" i="1"/>
  <c r="Y238" i="1"/>
  <c r="D239" i="1"/>
  <c r="E239" i="1"/>
  <c r="F239" i="1"/>
  <c r="G239" i="1"/>
  <c r="H239" i="1"/>
  <c r="I239" i="1"/>
  <c r="J239" i="1"/>
  <c r="M239" i="1"/>
  <c r="N239" i="1"/>
  <c r="O239" i="1"/>
  <c r="P433" i="1"/>
  <c r="P239" i="1"/>
  <c r="Q433" i="1"/>
  <c r="Q239" i="1"/>
  <c r="S239" i="1"/>
  <c r="T239" i="1"/>
  <c r="U239" i="1"/>
  <c r="W239" i="1"/>
  <c r="X239" i="1"/>
  <c r="Y239" i="1"/>
  <c r="D240" i="1"/>
  <c r="E240" i="1"/>
  <c r="F240" i="1"/>
  <c r="G240" i="1"/>
  <c r="H240" i="1"/>
  <c r="I240" i="1"/>
  <c r="J240" i="1"/>
  <c r="M240" i="1"/>
  <c r="N240" i="1"/>
  <c r="O240" i="1"/>
  <c r="P434" i="1"/>
  <c r="P240" i="1"/>
  <c r="Q434" i="1"/>
  <c r="Q240" i="1"/>
  <c r="S240" i="1"/>
  <c r="T240" i="1"/>
  <c r="U240" i="1"/>
  <c r="W240" i="1"/>
  <c r="X240" i="1"/>
  <c r="Y240" i="1"/>
  <c r="D241" i="1"/>
  <c r="E241" i="1"/>
  <c r="F241" i="1"/>
  <c r="G241" i="1"/>
  <c r="H241" i="1"/>
  <c r="I241" i="1"/>
  <c r="J241" i="1"/>
  <c r="M241" i="1"/>
  <c r="N241" i="1"/>
  <c r="O241" i="1"/>
  <c r="P435" i="1"/>
  <c r="P241" i="1"/>
  <c r="Q435" i="1"/>
  <c r="Q241" i="1"/>
  <c r="S241" i="1"/>
  <c r="T241" i="1"/>
  <c r="U241" i="1"/>
  <c r="W241" i="1"/>
  <c r="X241" i="1"/>
  <c r="Y241" i="1"/>
  <c r="D242" i="1"/>
  <c r="E242" i="1"/>
  <c r="F242" i="1"/>
  <c r="G242" i="1"/>
  <c r="H242" i="1"/>
  <c r="I242" i="1"/>
  <c r="J242" i="1"/>
  <c r="M242" i="1"/>
  <c r="N242" i="1"/>
  <c r="O242" i="1"/>
  <c r="P436" i="1"/>
  <c r="P242" i="1"/>
  <c r="Q436" i="1"/>
  <c r="Q242" i="1"/>
  <c r="S242" i="1"/>
  <c r="T242" i="1"/>
  <c r="U242" i="1"/>
  <c r="W242" i="1"/>
  <c r="X242" i="1"/>
  <c r="Y242" i="1"/>
  <c r="D243" i="1"/>
  <c r="E243" i="1"/>
  <c r="F243" i="1"/>
  <c r="G243" i="1"/>
  <c r="I243" i="1"/>
  <c r="J243" i="1"/>
  <c r="M243" i="1"/>
  <c r="N243" i="1"/>
  <c r="O243" i="1"/>
  <c r="P437" i="1"/>
  <c r="P243" i="1"/>
  <c r="Q437" i="1"/>
  <c r="Q243" i="1"/>
  <c r="S243" i="1"/>
  <c r="T243" i="1"/>
  <c r="U243" i="1"/>
  <c r="X243" i="1"/>
  <c r="Y243" i="1"/>
  <c r="D244" i="1"/>
  <c r="E244" i="1"/>
  <c r="F244" i="1"/>
  <c r="G244" i="1"/>
  <c r="I244" i="1"/>
  <c r="J244" i="1"/>
  <c r="K244" i="1"/>
  <c r="M244" i="1"/>
  <c r="N244" i="1"/>
  <c r="O244" i="1"/>
  <c r="P438" i="1"/>
  <c r="P244" i="1"/>
  <c r="Q438" i="1"/>
  <c r="Q244" i="1"/>
  <c r="S244" i="1"/>
  <c r="T244" i="1"/>
  <c r="U244" i="1"/>
  <c r="X244" i="1"/>
  <c r="Y244" i="1"/>
  <c r="D245" i="1"/>
  <c r="E245" i="1"/>
  <c r="F245" i="1"/>
  <c r="G245" i="1"/>
  <c r="I245" i="1"/>
  <c r="J245" i="1"/>
  <c r="M245" i="1"/>
  <c r="N245" i="1"/>
  <c r="O245" i="1"/>
  <c r="P439" i="1"/>
  <c r="P245" i="1"/>
  <c r="Q439" i="1"/>
  <c r="Q245" i="1"/>
  <c r="S245" i="1"/>
  <c r="T245" i="1"/>
  <c r="U245" i="1"/>
  <c r="X245" i="1"/>
  <c r="Y245" i="1"/>
  <c r="D246" i="1"/>
  <c r="E246" i="1"/>
  <c r="F246" i="1"/>
  <c r="G246" i="1"/>
  <c r="I246" i="1"/>
  <c r="J246" i="1"/>
  <c r="M246" i="1"/>
  <c r="N246" i="1"/>
  <c r="O246" i="1"/>
  <c r="P440" i="1"/>
  <c r="P246" i="1"/>
  <c r="Q440" i="1"/>
  <c r="Q246" i="1"/>
  <c r="S246" i="1"/>
  <c r="T246" i="1"/>
  <c r="U246" i="1"/>
  <c r="X246" i="1"/>
  <c r="Y246" i="1"/>
  <c r="D247" i="1"/>
  <c r="E247" i="1"/>
  <c r="F247" i="1"/>
  <c r="G247" i="1"/>
  <c r="I247" i="1"/>
  <c r="J247" i="1"/>
  <c r="M247" i="1"/>
  <c r="N247" i="1"/>
  <c r="O247" i="1"/>
  <c r="P441" i="1"/>
  <c r="P247" i="1"/>
  <c r="Q441" i="1"/>
  <c r="Q247" i="1"/>
  <c r="S247" i="1"/>
  <c r="T247" i="1"/>
  <c r="U247" i="1"/>
  <c r="X247" i="1"/>
  <c r="Y247" i="1"/>
  <c r="D248" i="1"/>
  <c r="E248" i="1"/>
  <c r="F248" i="1"/>
  <c r="G248" i="1"/>
  <c r="I248" i="1"/>
  <c r="J248" i="1"/>
  <c r="M248" i="1"/>
  <c r="N248" i="1"/>
  <c r="O248" i="1"/>
  <c r="P442" i="1"/>
  <c r="P248" i="1"/>
  <c r="Q442" i="1"/>
  <c r="Q248" i="1"/>
  <c r="S248" i="1"/>
  <c r="T248" i="1"/>
  <c r="U248" i="1"/>
  <c r="X248" i="1"/>
  <c r="Y248" i="1"/>
  <c r="D249" i="1"/>
  <c r="E249" i="1"/>
  <c r="F249" i="1"/>
  <c r="G249" i="1"/>
  <c r="I249" i="1"/>
  <c r="J249" i="1"/>
  <c r="M249" i="1"/>
  <c r="N249" i="1"/>
  <c r="O249" i="1"/>
  <c r="P443" i="1"/>
  <c r="P249" i="1"/>
  <c r="Q443" i="1"/>
  <c r="Q249" i="1"/>
  <c r="S249" i="1"/>
  <c r="T249" i="1"/>
  <c r="U249" i="1"/>
  <c r="X249" i="1"/>
  <c r="Y249" i="1"/>
  <c r="D250" i="1"/>
  <c r="E250" i="1"/>
  <c r="F250" i="1"/>
  <c r="G250" i="1"/>
  <c r="I250" i="1"/>
  <c r="J250" i="1"/>
  <c r="M250" i="1"/>
  <c r="N250" i="1"/>
  <c r="O250" i="1"/>
  <c r="P444" i="1"/>
  <c r="P250" i="1"/>
  <c r="Q444" i="1"/>
  <c r="Q250" i="1"/>
  <c r="S250" i="1"/>
  <c r="T250" i="1"/>
  <c r="U250" i="1"/>
  <c r="X250" i="1"/>
  <c r="Y250" i="1"/>
  <c r="D251" i="1"/>
  <c r="E251" i="1"/>
  <c r="F251" i="1"/>
  <c r="G251" i="1"/>
  <c r="I251" i="1"/>
  <c r="J251" i="1"/>
  <c r="M251" i="1"/>
  <c r="N251" i="1"/>
  <c r="O251" i="1"/>
  <c r="P457" i="1"/>
  <c r="P251" i="1"/>
  <c r="Q457" i="1"/>
  <c r="Q251" i="1"/>
  <c r="S251" i="1"/>
  <c r="T251" i="1"/>
  <c r="U251" i="1"/>
  <c r="X251" i="1"/>
  <c r="Y251" i="1"/>
  <c r="D252" i="1"/>
  <c r="E252" i="1"/>
  <c r="F252" i="1"/>
  <c r="G252" i="1"/>
  <c r="I252" i="1"/>
  <c r="J252" i="1"/>
  <c r="M252" i="1"/>
  <c r="N252" i="1"/>
  <c r="O252" i="1"/>
  <c r="P458" i="1"/>
  <c r="P252" i="1"/>
  <c r="Q458" i="1"/>
  <c r="Q252" i="1"/>
  <c r="S252" i="1"/>
  <c r="T252" i="1"/>
  <c r="U252" i="1"/>
  <c r="X252" i="1"/>
  <c r="Y252" i="1"/>
  <c r="D253" i="1"/>
  <c r="E253" i="1"/>
  <c r="F253" i="1"/>
  <c r="G253" i="1"/>
  <c r="I253" i="1"/>
  <c r="J253" i="1"/>
  <c r="M253" i="1"/>
  <c r="N253" i="1"/>
  <c r="O253" i="1"/>
  <c r="P459" i="1"/>
  <c r="P253" i="1"/>
  <c r="Q459" i="1"/>
  <c r="Q253" i="1"/>
  <c r="S253" i="1"/>
  <c r="T253" i="1"/>
  <c r="U253" i="1"/>
  <c r="X253" i="1"/>
  <c r="Y253" i="1"/>
  <c r="D254" i="1"/>
  <c r="E254" i="1"/>
  <c r="F254" i="1"/>
  <c r="G254" i="1"/>
  <c r="I254" i="1"/>
  <c r="J254" i="1"/>
  <c r="M254" i="1"/>
  <c r="N254" i="1"/>
  <c r="O254" i="1"/>
  <c r="P460" i="1"/>
  <c r="P254" i="1"/>
  <c r="Q460" i="1"/>
  <c r="Q254" i="1"/>
  <c r="S254" i="1"/>
  <c r="T254" i="1"/>
  <c r="U254" i="1"/>
  <c r="X254" i="1"/>
  <c r="Y254" i="1"/>
  <c r="D255" i="1"/>
  <c r="E255" i="1"/>
  <c r="F255" i="1"/>
  <c r="G255" i="1"/>
  <c r="J255" i="1"/>
  <c r="M255" i="1"/>
  <c r="N255" i="1"/>
  <c r="O255" i="1"/>
  <c r="P449" i="1"/>
  <c r="P255" i="1"/>
  <c r="Q449" i="1"/>
  <c r="Q255" i="1"/>
  <c r="R255" i="1"/>
  <c r="S255" i="1"/>
  <c r="T255" i="1"/>
  <c r="U255" i="1"/>
  <c r="X255" i="1"/>
  <c r="Y255" i="1"/>
  <c r="D256" i="1"/>
  <c r="E256" i="1"/>
  <c r="F256" i="1"/>
  <c r="G256" i="1"/>
  <c r="J256" i="1"/>
  <c r="K256" i="1"/>
  <c r="M256" i="1"/>
  <c r="N256" i="1"/>
  <c r="O256" i="1"/>
  <c r="P450" i="1"/>
  <c r="P256" i="1"/>
  <c r="Q450" i="1"/>
  <c r="Q256" i="1"/>
  <c r="R256" i="1"/>
  <c r="S256" i="1"/>
  <c r="T256" i="1"/>
  <c r="U256" i="1"/>
  <c r="X256" i="1"/>
  <c r="Y256" i="1"/>
  <c r="D257" i="1"/>
  <c r="E257" i="1"/>
  <c r="F257" i="1"/>
  <c r="G257" i="1"/>
  <c r="J257" i="1"/>
  <c r="M257" i="1"/>
  <c r="N257" i="1"/>
  <c r="O257" i="1"/>
  <c r="P451" i="1"/>
  <c r="P257" i="1"/>
  <c r="Q451" i="1"/>
  <c r="Q257" i="1"/>
  <c r="R257" i="1"/>
  <c r="S257" i="1"/>
  <c r="T257" i="1"/>
  <c r="U257" i="1"/>
  <c r="X257" i="1"/>
  <c r="Y257" i="1"/>
  <c r="D258" i="1"/>
  <c r="E258" i="1"/>
  <c r="F258" i="1"/>
  <c r="G258" i="1"/>
  <c r="J258" i="1"/>
  <c r="M258" i="1"/>
  <c r="N258" i="1"/>
  <c r="O258" i="1"/>
  <c r="P452" i="1"/>
  <c r="P258" i="1"/>
  <c r="Q452" i="1"/>
  <c r="Q258" i="1"/>
  <c r="R258" i="1"/>
  <c r="S258" i="1"/>
  <c r="T258" i="1"/>
  <c r="U258" i="1"/>
  <c r="X258" i="1"/>
  <c r="Y258" i="1"/>
  <c r="D259" i="1"/>
  <c r="E259" i="1"/>
  <c r="F259" i="1"/>
  <c r="G259" i="1"/>
  <c r="J259" i="1"/>
  <c r="M259" i="1"/>
  <c r="N259" i="1"/>
  <c r="O259" i="1"/>
  <c r="P453" i="1"/>
  <c r="P259" i="1"/>
  <c r="Q453" i="1"/>
  <c r="Q259" i="1"/>
  <c r="R259" i="1"/>
  <c r="S259" i="1"/>
  <c r="T259" i="1"/>
  <c r="U259" i="1"/>
  <c r="X259" i="1"/>
  <c r="Y259" i="1"/>
  <c r="D260" i="1"/>
  <c r="E260" i="1"/>
  <c r="F260" i="1"/>
  <c r="G260" i="1"/>
  <c r="J260" i="1"/>
  <c r="M260" i="1"/>
  <c r="N260" i="1"/>
  <c r="O260" i="1"/>
  <c r="P454" i="1"/>
  <c r="P260" i="1"/>
  <c r="Q454" i="1"/>
  <c r="Q260" i="1"/>
  <c r="R260" i="1"/>
  <c r="S260" i="1"/>
  <c r="T260" i="1"/>
  <c r="U260" i="1"/>
  <c r="X260" i="1"/>
  <c r="Y260" i="1"/>
  <c r="D261" i="1"/>
  <c r="E261" i="1"/>
  <c r="F261" i="1"/>
  <c r="G261" i="1"/>
  <c r="J261" i="1"/>
  <c r="M261" i="1"/>
  <c r="N261" i="1"/>
  <c r="O261" i="1"/>
  <c r="P455" i="1"/>
  <c r="P261" i="1"/>
  <c r="Q455" i="1"/>
  <c r="Q261" i="1"/>
  <c r="R261" i="1"/>
  <c r="S261" i="1"/>
  <c r="T261" i="1"/>
  <c r="U261" i="1"/>
  <c r="X261" i="1"/>
  <c r="Y261" i="1"/>
  <c r="D262" i="1"/>
  <c r="E262" i="1"/>
  <c r="F262" i="1"/>
  <c r="G262" i="1"/>
  <c r="J262" i="1"/>
  <c r="M262" i="1"/>
  <c r="N262" i="1"/>
  <c r="O262" i="1"/>
  <c r="P456" i="1"/>
  <c r="P262" i="1"/>
  <c r="Q456" i="1"/>
  <c r="Q262" i="1"/>
  <c r="R262" i="1"/>
  <c r="S262" i="1"/>
  <c r="T262" i="1"/>
  <c r="U262" i="1"/>
  <c r="X262" i="1"/>
  <c r="Y262" i="1"/>
  <c r="D263" i="1"/>
  <c r="E263" i="1"/>
  <c r="F263" i="1"/>
  <c r="G263" i="1"/>
  <c r="J263" i="1"/>
  <c r="M263" i="1"/>
  <c r="N263" i="1"/>
  <c r="O263" i="1"/>
  <c r="P263" i="1"/>
  <c r="Q263" i="1"/>
  <c r="R263" i="1"/>
  <c r="S263" i="1"/>
  <c r="T263" i="1"/>
  <c r="U263" i="1"/>
  <c r="X263" i="1"/>
  <c r="Y263" i="1"/>
  <c r="D264" i="1"/>
  <c r="E264" i="1"/>
  <c r="F264" i="1"/>
  <c r="G264" i="1"/>
  <c r="J264" i="1"/>
  <c r="M264" i="1"/>
  <c r="N264" i="1"/>
  <c r="O264" i="1"/>
  <c r="P264" i="1"/>
  <c r="Q264" i="1"/>
  <c r="R264" i="1"/>
  <c r="S264" i="1"/>
  <c r="T264" i="1"/>
  <c r="U264" i="1"/>
  <c r="X264" i="1"/>
  <c r="Y264" i="1"/>
  <c r="D265" i="1"/>
  <c r="E265" i="1"/>
  <c r="F265" i="1"/>
  <c r="G265" i="1"/>
  <c r="J265" i="1"/>
  <c r="M265" i="1"/>
  <c r="N265" i="1"/>
  <c r="O265" i="1"/>
  <c r="P265" i="1"/>
  <c r="Q265" i="1"/>
  <c r="R265" i="1"/>
  <c r="S265" i="1"/>
  <c r="T265" i="1"/>
  <c r="U265" i="1"/>
  <c r="X265" i="1"/>
  <c r="Y265" i="1"/>
  <c r="D266" i="1"/>
  <c r="E266" i="1"/>
  <c r="F266" i="1"/>
  <c r="G266" i="1"/>
  <c r="J266" i="1"/>
  <c r="M266" i="1"/>
  <c r="N266" i="1"/>
  <c r="O266" i="1"/>
  <c r="P266" i="1"/>
  <c r="Q266" i="1"/>
  <c r="R266" i="1"/>
  <c r="S266" i="1"/>
  <c r="T266" i="1"/>
  <c r="U266" i="1"/>
  <c r="X266" i="1"/>
  <c r="Y266" i="1"/>
  <c r="D267" i="1"/>
  <c r="E267" i="1"/>
  <c r="F267" i="1"/>
  <c r="G267" i="1"/>
  <c r="H267" i="1"/>
  <c r="I267" i="1"/>
  <c r="J267" i="1"/>
  <c r="M267" i="1"/>
  <c r="N267" i="1"/>
  <c r="O267" i="1"/>
  <c r="P461" i="1"/>
  <c r="P267" i="1"/>
  <c r="Q461" i="1"/>
  <c r="Q267" i="1"/>
  <c r="R267" i="1"/>
  <c r="S267" i="1"/>
  <c r="T267" i="1"/>
  <c r="U267" i="1"/>
  <c r="X267" i="1"/>
  <c r="Y267" i="1"/>
  <c r="D268" i="1"/>
  <c r="E268" i="1"/>
  <c r="F268" i="1"/>
  <c r="G268" i="1"/>
  <c r="H268" i="1"/>
  <c r="I268" i="1"/>
  <c r="J268" i="1"/>
  <c r="K268" i="1"/>
  <c r="M268" i="1"/>
  <c r="N268" i="1"/>
  <c r="O268" i="1"/>
  <c r="P462" i="1"/>
  <c r="P268" i="1"/>
  <c r="Q462" i="1"/>
  <c r="Q268" i="1"/>
  <c r="R268" i="1"/>
  <c r="S268" i="1"/>
  <c r="T268" i="1"/>
  <c r="U268" i="1"/>
  <c r="W268" i="1"/>
  <c r="X268" i="1"/>
  <c r="Y268" i="1"/>
  <c r="D269" i="1"/>
  <c r="E269" i="1"/>
  <c r="F269" i="1"/>
  <c r="G269" i="1"/>
  <c r="I269" i="1"/>
  <c r="J269" i="1"/>
  <c r="M269" i="1"/>
  <c r="N269" i="1"/>
  <c r="O269" i="1"/>
  <c r="P463" i="1"/>
  <c r="P269" i="1"/>
  <c r="Q463" i="1"/>
  <c r="Q269" i="1"/>
  <c r="R269" i="1"/>
  <c r="S269" i="1"/>
  <c r="T269" i="1"/>
  <c r="U269" i="1"/>
  <c r="X269" i="1"/>
  <c r="Y269" i="1"/>
  <c r="D270" i="1"/>
  <c r="E270" i="1"/>
  <c r="F270" i="1"/>
  <c r="G270" i="1"/>
  <c r="I270" i="1"/>
  <c r="J270" i="1"/>
  <c r="M270" i="1"/>
  <c r="N270" i="1"/>
  <c r="O270" i="1"/>
  <c r="P464" i="1"/>
  <c r="P270" i="1"/>
  <c r="Q464" i="1"/>
  <c r="Q270" i="1"/>
  <c r="R270" i="1"/>
  <c r="S270" i="1"/>
  <c r="T270" i="1"/>
  <c r="U270" i="1"/>
  <c r="X270" i="1"/>
  <c r="Y270" i="1"/>
  <c r="D271" i="1"/>
  <c r="E271" i="1"/>
  <c r="F271" i="1"/>
  <c r="G271" i="1"/>
  <c r="I271" i="1"/>
  <c r="J271" i="1"/>
  <c r="M271" i="1"/>
  <c r="N271" i="1"/>
  <c r="O271" i="1"/>
  <c r="P465" i="1"/>
  <c r="P271" i="1"/>
  <c r="Q465" i="1"/>
  <c r="Q271" i="1"/>
  <c r="R271" i="1"/>
  <c r="S271" i="1"/>
  <c r="T271" i="1"/>
  <c r="U271" i="1"/>
  <c r="X271" i="1"/>
  <c r="Y271" i="1"/>
  <c r="D272" i="1"/>
  <c r="E272" i="1"/>
  <c r="F272" i="1"/>
  <c r="G272" i="1"/>
  <c r="I272" i="1"/>
  <c r="J272" i="1"/>
  <c r="M272" i="1"/>
  <c r="N272" i="1"/>
  <c r="O272" i="1"/>
  <c r="P466" i="1"/>
  <c r="P272" i="1"/>
  <c r="Q466" i="1"/>
  <c r="Q272" i="1"/>
  <c r="R272" i="1"/>
  <c r="S272" i="1"/>
  <c r="T272" i="1"/>
  <c r="U272" i="1"/>
  <c r="X272" i="1"/>
  <c r="Y272" i="1"/>
  <c r="D273" i="1"/>
  <c r="E273" i="1"/>
  <c r="F273" i="1"/>
  <c r="G273" i="1"/>
  <c r="I273" i="1"/>
  <c r="J273" i="1"/>
  <c r="M273" i="1"/>
  <c r="N273" i="1"/>
  <c r="O273" i="1"/>
  <c r="P467" i="1"/>
  <c r="P273" i="1"/>
  <c r="Q467" i="1"/>
  <c r="Q273" i="1"/>
  <c r="R273" i="1"/>
  <c r="S273" i="1"/>
  <c r="T273" i="1"/>
  <c r="U273" i="1"/>
  <c r="X273" i="1"/>
  <c r="Y273" i="1"/>
  <c r="D274" i="1"/>
  <c r="E274" i="1"/>
  <c r="F274" i="1"/>
  <c r="G274" i="1"/>
  <c r="I274" i="1"/>
  <c r="J274" i="1"/>
  <c r="M274" i="1"/>
  <c r="N274" i="1"/>
  <c r="O274" i="1"/>
  <c r="P468" i="1"/>
  <c r="P274" i="1"/>
  <c r="Q468" i="1"/>
  <c r="Q274" i="1"/>
  <c r="R274" i="1"/>
  <c r="S274" i="1"/>
  <c r="T274" i="1"/>
  <c r="U274" i="1"/>
  <c r="X274" i="1"/>
  <c r="Y274" i="1"/>
  <c r="D275" i="1"/>
  <c r="E275" i="1"/>
  <c r="F275" i="1"/>
  <c r="G275" i="1"/>
  <c r="I275" i="1"/>
  <c r="J275" i="1"/>
  <c r="M275" i="1"/>
  <c r="N275" i="1"/>
  <c r="O275" i="1"/>
  <c r="P469" i="1"/>
  <c r="P275" i="1"/>
  <c r="Q469" i="1"/>
  <c r="Q275" i="1"/>
  <c r="R275" i="1"/>
  <c r="S275" i="1"/>
  <c r="T275" i="1"/>
  <c r="U275" i="1"/>
  <c r="X275" i="1"/>
  <c r="Y275" i="1"/>
  <c r="D276" i="1"/>
  <c r="E276" i="1"/>
  <c r="F276" i="1"/>
  <c r="G276" i="1"/>
  <c r="I276" i="1"/>
  <c r="J276" i="1"/>
  <c r="M276" i="1"/>
  <c r="N276" i="1"/>
  <c r="O276" i="1"/>
  <c r="P470" i="1"/>
  <c r="P276" i="1"/>
  <c r="Q470" i="1"/>
  <c r="Q276" i="1"/>
  <c r="R276" i="1"/>
  <c r="S276" i="1"/>
  <c r="T276" i="1"/>
  <c r="U276" i="1"/>
  <c r="X276" i="1"/>
  <c r="Y276" i="1"/>
  <c r="D277" i="1"/>
  <c r="E277" i="1"/>
  <c r="F277" i="1"/>
  <c r="G277" i="1"/>
  <c r="I277" i="1"/>
  <c r="J277" i="1"/>
  <c r="M277" i="1"/>
  <c r="N277" i="1"/>
  <c r="O277" i="1"/>
  <c r="P471" i="1"/>
  <c r="P277" i="1"/>
  <c r="Q471" i="1"/>
  <c r="Q277" i="1"/>
  <c r="R277" i="1"/>
  <c r="S277" i="1"/>
  <c r="T277" i="1"/>
  <c r="U277" i="1"/>
  <c r="X277" i="1"/>
  <c r="Y277" i="1"/>
  <c r="D278" i="1"/>
  <c r="E278" i="1"/>
  <c r="F278" i="1"/>
  <c r="G278" i="1"/>
  <c r="H278" i="1"/>
  <c r="I278" i="1"/>
  <c r="J278" i="1"/>
  <c r="M278" i="1"/>
  <c r="N278" i="1"/>
  <c r="O278" i="1"/>
  <c r="P472" i="1"/>
  <c r="P278" i="1"/>
  <c r="Q472" i="1"/>
  <c r="Q278" i="1"/>
  <c r="R278" i="1"/>
  <c r="S278" i="1"/>
  <c r="T278" i="1"/>
  <c r="U278" i="1"/>
  <c r="W278" i="1"/>
  <c r="X278" i="1"/>
  <c r="Y278" i="1"/>
  <c r="D279" i="1"/>
  <c r="E279" i="1"/>
  <c r="F279" i="1"/>
  <c r="G279" i="1"/>
  <c r="H279" i="1"/>
  <c r="I279" i="1"/>
  <c r="J279" i="1"/>
  <c r="M279" i="1"/>
  <c r="N279" i="1"/>
  <c r="O279" i="1"/>
  <c r="P473" i="1"/>
  <c r="P279" i="1"/>
  <c r="Q473" i="1"/>
  <c r="Q279" i="1"/>
  <c r="R279" i="1"/>
  <c r="S279" i="1"/>
  <c r="T279" i="1"/>
  <c r="U279" i="1"/>
  <c r="W279" i="1"/>
  <c r="X279" i="1"/>
  <c r="Y279" i="1"/>
  <c r="D280" i="1"/>
  <c r="E280" i="1"/>
  <c r="H280" i="1"/>
  <c r="I280" i="1"/>
  <c r="J280" i="1"/>
  <c r="K280" i="1"/>
  <c r="M280" i="1"/>
  <c r="N280" i="1"/>
  <c r="Q474" i="1"/>
  <c r="Q280" i="1"/>
  <c r="S280" i="1"/>
  <c r="T280" i="1"/>
  <c r="U280" i="1"/>
  <c r="W280" i="1"/>
  <c r="X280" i="1"/>
  <c r="Y280" i="1"/>
  <c r="L321" i="1"/>
  <c r="R321" i="1"/>
  <c r="S321" i="1"/>
  <c r="R326" i="1"/>
  <c r="S326" i="1"/>
  <c r="T326" i="1"/>
  <c r="U326" i="1"/>
  <c r="R327" i="1"/>
  <c r="S327" i="1"/>
  <c r="T327" i="1"/>
  <c r="U327" i="1"/>
  <c r="R328" i="1"/>
  <c r="S328" i="1"/>
  <c r="T328" i="1"/>
  <c r="U328" i="1"/>
  <c r="R329" i="1"/>
  <c r="S329" i="1"/>
  <c r="T329" i="1"/>
  <c r="U329" i="1"/>
  <c r="R330" i="1"/>
  <c r="S330" i="1"/>
  <c r="T330" i="1"/>
  <c r="U330" i="1"/>
  <c r="R331" i="1"/>
  <c r="S331" i="1"/>
  <c r="T331" i="1"/>
  <c r="U331" i="1"/>
  <c r="R332" i="1"/>
  <c r="S332" i="1"/>
  <c r="T332" i="1"/>
  <c r="U332" i="1"/>
  <c r="R333" i="1"/>
  <c r="S333" i="1"/>
  <c r="T333" i="1"/>
  <c r="U333" i="1"/>
  <c r="R334" i="1"/>
  <c r="S334" i="1"/>
  <c r="T334" i="1"/>
  <c r="U334" i="1"/>
  <c r="R335" i="1"/>
  <c r="S335" i="1"/>
  <c r="T335" i="1"/>
  <c r="U335" i="1"/>
  <c r="R336" i="1"/>
  <c r="S336" i="1"/>
  <c r="T336" i="1"/>
  <c r="U336" i="1"/>
  <c r="R337" i="1"/>
  <c r="S337" i="1"/>
  <c r="T337" i="1"/>
  <c r="U337" i="1"/>
  <c r="R338" i="1"/>
  <c r="S338" i="1"/>
  <c r="T338" i="1"/>
  <c r="U338" i="1"/>
  <c r="R339" i="1"/>
  <c r="S339" i="1"/>
  <c r="T339" i="1"/>
  <c r="U339" i="1"/>
  <c r="R340" i="1"/>
  <c r="S340" i="1"/>
  <c r="T340" i="1"/>
  <c r="U340" i="1"/>
  <c r="R341" i="1"/>
  <c r="S341" i="1"/>
  <c r="T341" i="1"/>
  <c r="U341" i="1"/>
  <c r="R342" i="1"/>
  <c r="S342" i="1"/>
  <c r="T342" i="1"/>
  <c r="U342" i="1"/>
  <c r="R343" i="1"/>
  <c r="S343" i="1"/>
  <c r="T343" i="1"/>
  <c r="U343" i="1"/>
  <c r="R344" i="1"/>
  <c r="S344" i="1"/>
  <c r="T344" i="1"/>
  <c r="U344" i="1"/>
  <c r="R345" i="1"/>
  <c r="S345" i="1"/>
  <c r="T345" i="1"/>
  <c r="U345" i="1"/>
  <c r="R346" i="1"/>
  <c r="S346" i="1"/>
  <c r="T346" i="1"/>
  <c r="U346" i="1"/>
  <c r="R347" i="1"/>
  <c r="S347" i="1"/>
  <c r="T347" i="1"/>
  <c r="U347" i="1"/>
  <c r="R348" i="1"/>
  <c r="S348" i="1"/>
  <c r="T348" i="1"/>
  <c r="U348" i="1"/>
  <c r="R349" i="1"/>
  <c r="S349" i="1"/>
  <c r="T349" i="1"/>
  <c r="U349" i="1"/>
  <c r="R350" i="1"/>
  <c r="S350" i="1"/>
  <c r="T350" i="1"/>
  <c r="U350" i="1"/>
  <c r="R351" i="1"/>
  <c r="S351" i="1"/>
  <c r="T351" i="1"/>
  <c r="U351" i="1"/>
  <c r="R352" i="1"/>
  <c r="S352" i="1"/>
  <c r="T352" i="1"/>
  <c r="U352" i="1"/>
  <c r="S353" i="1"/>
  <c r="T353" i="1"/>
  <c r="U353" i="1"/>
  <c r="S354" i="1"/>
  <c r="T354" i="1"/>
  <c r="U354" i="1"/>
  <c r="A355" i="1"/>
  <c r="B355" i="1"/>
  <c r="C355" i="1"/>
  <c r="S355" i="1"/>
  <c r="T355" i="1"/>
  <c r="U355" i="1"/>
  <c r="A356" i="1"/>
  <c r="B356" i="1"/>
  <c r="C356" i="1"/>
  <c r="S356" i="1"/>
  <c r="T356" i="1"/>
  <c r="U356" i="1"/>
  <c r="A357" i="1"/>
  <c r="B357" i="1"/>
  <c r="C357" i="1"/>
  <c r="S357" i="1"/>
  <c r="T357" i="1"/>
  <c r="U357" i="1"/>
  <c r="A358" i="1"/>
  <c r="B358" i="1"/>
  <c r="C358" i="1"/>
  <c r="S358" i="1"/>
  <c r="T358" i="1"/>
  <c r="U358" i="1"/>
  <c r="A359" i="1"/>
  <c r="B359" i="1"/>
  <c r="C359" i="1"/>
  <c r="S359" i="1"/>
  <c r="T359" i="1"/>
  <c r="U359" i="1"/>
  <c r="A360" i="1"/>
  <c r="B360" i="1"/>
  <c r="C360" i="1"/>
  <c r="S360" i="1"/>
  <c r="T360" i="1"/>
  <c r="U360" i="1"/>
  <c r="A361" i="1"/>
  <c r="B361" i="1"/>
  <c r="C361" i="1"/>
  <c r="S361" i="1"/>
  <c r="T361" i="1"/>
  <c r="U361" i="1"/>
  <c r="A362" i="1"/>
  <c r="B362" i="1"/>
  <c r="C362" i="1"/>
  <c r="S362" i="1"/>
  <c r="T362" i="1"/>
  <c r="U362" i="1"/>
  <c r="A363" i="1"/>
  <c r="B363" i="1"/>
  <c r="C363" i="1"/>
  <c r="S363" i="1"/>
  <c r="T363" i="1"/>
  <c r="U363" i="1"/>
  <c r="A364" i="1"/>
  <c r="B364" i="1"/>
  <c r="C364" i="1"/>
  <c r="S364" i="1"/>
  <c r="T364" i="1"/>
  <c r="U364" i="1"/>
  <c r="A365" i="1"/>
  <c r="B365" i="1"/>
  <c r="C365" i="1"/>
  <c r="S365" i="1"/>
  <c r="T365" i="1"/>
  <c r="U365" i="1"/>
  <c r="A366" i="1"/>
  <c r="B366" i="1"/>
  <c r="C366" i="1"/>
  <c r="S366" i="1"/>
  <c r="T366" i="1"/>
  <c r="U366" i="1"/>
  <c r="A367" i="1"/>
  <c r="B367" i="1"/>
  <c r="C367" i="1"/>
  <c r="S367" i="1"/>
  <c r="T367" i="1"/>
  <c r="U367" i="1"/>
  <c r="A368" i="1"/>
  <c r="B368" i="1"/>
  <c r="C368" i="1"/>
  <c r="S368" i="1"/>
  <c r="T368" i="1"/>
  <c r="U368" i="1"/>
  <c r="A369" i="1"/>
  <c r="B369" i="1"/>
  <c r="C369" i="1"/>
  <c r="S369" i="1"/>
  <c r="T369" i="1"/>
  <c r="U369" i="1"/>
  <c r="A370" i="1"/>
  <c r="B370" i="1"/>
  <c r="C370" i="1"/>
  <c r="S370" i="1"/>
  <c r="T370" i="1"/>
  <c r="U370" i="1"/>
  <c r="A371" i="1"/>
  <c r="S371" i="1"/>
  <c r="T371" i="1"/>
  <c r="U371" i="1"/>
  <c r="A372" i="1"/>
  <c r="S372" i="1"/>
  <c r="T372" i="1"/>
  <c r="U372" i="1"/>
  <c r="A373" i="1"/>
  <c r="S373" i="1"/>
  <c r="T373" i="1"/>
  <c r="U373" i="1"/>
  <c r="S374" i="1"/>
  <c r="T374" i="1"/>
  <c r="U374" i="1"/>
  <c r="H375" i="1"/>
  <c r="S375" i="1"/>
  <c r="T375" i="1"/>
  <c r="U375" i="1"/>
  <c r="S376" i="1"/>
  <c r="T376" i="1"/>
  <c r="U376" i="1"/>
  <c r="B377" i="1"/>
  <c r="C377" i="1"/>
  <c r="S377" i="1"/>
  <c r="T377" i="1"/>
  <c r="U377" i="1"/>
  <c r="B378" i="1"/>
  <c r="C378" i="1"/>
  <c r="S378" i="1"/>
  <c r="T378" i="1"/>
  <c r="U378" i="1"/>
  <c r="S379" i="1"/>
  <c r="T379" i="1"/>
  <c r="U379" i="1"/>
  <c r="B380" i="1"/>
  <c r="C380" i="1"/>
  <c r="S380" i="1"/>
  <c r="T380" i="1"/>
  <c r="U380" i="1"/>
  <c r="S381" i="1"/>
  <c r="T381" i="1"/>
  <c r="U381" i="1"/>
  <c r="S382" i="1"/>
  <c r="T382" i="1"/>
  <c r="U382" i="1"/>
  <c r="S383" i="1"/>
  <c r="T383" i="1"/>
  <c r="U383" i="1"/>
  <c r="S384" i="1"/>
  <c r="T384" i="1"/>
  <c r="U384" i="1"/>
  <c r="B385" i="1"/>
  <c r="C385" i="1"/>
  <c r="S385" i="1"/>
  <c r="T385" i="1"/>
  <c r="U385" i="1"/>
  <c r="S386" i="1"/>
  <c r="T386" i="1"/>
  <c r="U386" i="1"/>
  <c r="S387" i="1"/>
  <c r="T387" i="1"/>
  <c r="U387" i="1"/>
  <c r="S388" i="1"/>
  <c r="T388" i="1"/>
  <c r="U388" i="1"/>
  <c r="S389" i="1"/>
  <c r="T389" i="1"/>
  <c r="U389" i="1"/>
  <c r="S390" i="1"/>
  <c r="T390" i="1"/>
  <c r="U390" i="1"/>
  <c r="S391" i="1"/>
  <c r="T391" i="1"/>
  <c r="U391" i="1"/>
  <c r="S392" i="1"/>
  <c r="T392" i="1"/>
  <c r="U392" i="1"/>
  <c r="S393" i="1"/>
  <c r="T393" i="1"/>
  <c r="U393" i="1"/>
  <c r="S394" i="1"/>
  <c r="T394" i="1"/>
  <c r="U394" i="1"/>
  <c r="S395" i="1"/>
  <c r="T395" i="1"/>
  <c r="U395" i="1"/>
  <c r="S396" i="1"/>
  <c r="T396" i="1"/>
  <c r="U396" i="1"/>
  <c r="S397" i="1"/>
  <c r="T397" i="1"/>
  <c r="U397" i="1"/>
  <c r="S398" i="1"/>
  <c r="T398" i="1"/>
  <c r="U398" i="1"/>
  <c r="S399" i="1"/>
  <c r="T399" i="1"/>
  <c r="U399" i="1"/>
  <c r="S400" i="1"/>
  <c r="T400" i="1"/>
  <c r="U400" i="1"/>
  <c r="D401" i="1"/>
  <c r="S401" i="1"/>
  <c r="T401" i="1"/>
  <c r="U401" i="1"/>
  <c r="D402" i="1"/>
  <c r="S402" i="1"/>
  <c r="T402" i="1"/>
  <c r="U402" i="1"/>
  <c r="D403" i="1"/>
  <c r="S403" i="1"/>
  <c r="T403" i="1"/>
  <c r="U403" i="1"/>
  <c r="D404" i="1"/>
  <c r="S404" i="1"/>
  <c r="T404" i="1"/>
  <c r="U404" i="1"/>
  <c r="D405" i="1"/>
  <c r="S405" i="1"/>
  <c r="T405" i="1"/>
  <c r="U405" i="1"/>
  <c r="D406" i="1"/>
  <c r="S406" i="1"/>
  <c r="T406" i="1"/>
  <c r="U406" i="1"/>
  <c r="D407" i="1"/>
  <c r="S407" i="1"/>
  <c r="T407" i="1"/>
  <c r="U407" i="1"/>
  <c r="D408" i="1"/>
  <c r="S408" i="1"/>
  <c r="T408" i="1"/>
  <c r="U408" i="1"/>
  <c r="D409" i="1"/>
  <c r="S409" i="1"/>
  <c r="T409" i="1"/>
  <c r="U409" i="1"/>
  <c r="D410" i="1"/>
  <c r="S410" i="1"/>
  <c r="T410" i="1"/>
  <c r="U410" i="1"/>
  <c r="D411" i="1"/>
  <c r="S411" i="1"/>
  <c r="T411" i="1"/>
  <c r="U411" i="1"/>
  <c r="D412" i="1"/>
  <c r="S412" i="1"/>
  <c r="T412" i="1"/>
  <c r="U412" i="1"/>
  <c r="D413" i="1"/>
  <c r="S413" i="1"/>
  <c r="T413" i="1"/>
  <c r="U413" i="1"/>
  <c r="D414" i="1"/>
  <c r="S414" i="1"/>
  <c r="T414" i="1"/>
  <c r="U414" i="1"/>
  <c r="D415" i="1"/>
  <c r="S415" i="1"/>
  <c r="T415" i="1"/>
  <c r="U415" i="1"/>
  <c r="D416" i="1"/>
  <c r="S416" i="1"/>
  <c r="T416" i="1"/>
  <c r="U416" i="1"/>
  <c r="D417" i="1"/>
  <c r="S417" i="1"/>
  <c r="T417" i="1"/>
  <c r="U417" i="1"/>
  <c r="D418" i="1"/>
  <c r="S418" i="1"/>
  <c r="T418" i="1"/>
  <c r="U418" i="1"/>
  <c r="D419" i="1"/>
  <c r="S419" i="1"/>
  <c r="T419" i="1"/>
  <c r="U419" i="1"/>
  <c r="D420" i="1"/>
  <c r="S420" i="1"/>
  <c r="T420" i="1"/>
  <c r="U420" i="1"/>
  <c r="D421" i="1"/>
  <c r="S421" i="1"/>
  <c r="T421" i="1"/>
  <c r="U421" i="1"/>
  <c r="D422" i="1"/>
  <c r="S422" i="1"/>
  <c r="T422" i="1"/>
  <c r="U422" i="1"/>
  <c r="D423" i="1"/>
  <c r="S423" i="1"/>
  <c r="T423" i="1"/>
  <c r="U423" i="1"/>
  <c r="D424" i="1"/>
  <c r="S424" i="1"/>
  <c r="T424" i="1"/>
  <c r="U424" i="1"/>
  <c r="D425" i="1"/>
  <c r="S425" i="1"/>
  <c r="T425" i="1"/>
  <c r="U425" i="1"/>
  <c r="D426" i="1"/>
  <c r="S426" i="1"/>
  <c r="T426" i="1"/>
  <c r="U426" i="1"/>
  <c r="D427" i="1"/>
  <c r="S427" i="1"/>
  <c r="T427" i="1"/>
  <c r="U427" i="1"/>
  <c r="D428" i="1"/>
  <c r="S428" i="1"/>
  <c r="T428" i="1"/>
  <c r="U428" i="1"/>
  <c r="D429" i="1"/>
  <c r="S429" i="1"/>
  <c r="T429" i="1"/>
  <c r="U429" i="1"/>
  <c r="D430" i="1"/>
  <c r="S430" i="1"/>
  <c r="T430" i="1"/>
  <c r="U430" i="1"/>
  <c r="D431" i="1"/>
  <c r="S431" i="1"/>
  <c r="T431" i="1"/>
  <c r="U431" i="1"/>
  <c r="D432" i="1"/>
  <c r="S432" i="1"/>
  <c r="T432" i="1"/>
  <c r="U432" i="1"/>
  <c r="D433" i="1"/>
  <c r="S433" i="1"/>
  <c r="T433" i="1"/>
  <c r="U433" i="1"/>
  <c r="D434" i="1"/>
  <c r="S434" i="1"/>
  <c r="T434" i="1"/>
  <c r="U434" i="1"/>
  <c r="D435" i="1"/>
  <c r="S435" i="1"/>
  <c r="T435" i="1"/>
  <c r="U435" i="1"/>
  <c r="D436" i="1"/>
  <c r="S436" i="1"/>
  <c r="T436" i="1"/>
  <c r="U436" i="1"/>
  <c r="D437" i="1"/>
  <c r="S437" i="1"/>
  <c r="T437" i="1"/>
  <c r="U437" i="1"/>
  <c r="D438" i="1"/>
  <c r="S438" i="1"/>
  <c r="T438" i="1"/>
  <c r="U438" i="1"/>
  <c r="D439" i="1"/>
  <c r="S439" i="1"/>
  <c r="T439" i="1"/>
  <c r="U439" i="1"/>
  <c r="D440" i="1"/>
  <c r="S440" i="1"/>
  <c r="T440" i="1"/>
  <c r="U440" i="1"/>
  <c r="D441" i="1"/>
  <c r="S441" i="1"/>
  <c r="T441" i="1"/>
  <c r="U441" i="1"/>
  <c r="D442" i="1"/>
  <c r="S442" i="1"/>
  <c r="T442" i="1"/>
  <c r="U442" i="1"/>
  <c r="D443" i="1"/>
  <c r="S443" i="1"/>
  <c r="T443" i="1"/>
  <c r="U443" i="1"/>
  <c r="D444" i="1"/>
  <c r="S444" i="1"/>
  <c r="T444" i="1"/>
  <c r="U444" i="1"/>
  <c r="D445" i="1"/>
  <c r="P445" i="1"/>
  <c r="Q445" i="1"/>
  <c r="S445" i="1"/>
  <c r="T445" i="1"/>
  <c r="U445" i="1"/>
  <c r="D446" i="1"/>
  <c r="P446" i="1"/>
  <c r="Q446" i="1"/>
  <c r="S446" i="1"/>
  <c r="T446" i="1"/>
  <c r="U446" i="1"/>
  <c r="D447" i="1"/>
  <c r="P447" i="1"/>
  <c r="Q447" i="1"/>
  <c r="S447" i="1"/>
  <c r="T447" i="1"/>
  <c r="U447" i="1"/>
  <c r="D448" i="1"/>
  <c r="P448" i="1"/>
  <c r="Q448" i="1"/>
  <c r="S448" i="1"/>
  <c r="T448" i="1"/>
  <c r="U448" i="1"/>
  <c r="D449" i="1"/>
  <c r="S449" i="1"/>
  <c r="T449" i="1"/>
  <c r="U449" i="1"/>
  <c r="D450" i="1"/>
  <c r="S450" i="1"/>
  <c r="T450" i="1"/>
  <c r="U450" i="1"/>
  <c r="D451" i="1"/>
  <c r="S451" i="1"/>
  <c r="T451" i="1"/>
  <c r="U451" i="1"/>
  <c r="D452" i="1"/>
  <c r="S452" i="1"/>
  <c r="T452" i="1"/>
  <c r="U452" i="1"/>
  <c r="D453" i="1"/>
  <c r="S453" i="1"/>
  <c r="T453" i="1"/>
  <c r="U453" i="1"/>
  <c r="D454" i="1"/>
  <c r="S454" i="1"/>
  <c r="T454" i="1"/>
  <c r="U454" i="1"/>
  <c r="D455" i="1"/>
  <c r="K455" i="1"/>
  <c r="S455" i="1"/>
  <c r="T455" i="1"/>
  <c r="U455" i="1"/>
  <c r="D456" i="1"/>
  <c r="K456" i="1"/>
  <c r="S456" i="1"/>
  <c r="T456" i="1"/>
  <c r="U456" i="1"/>
  <c r="D457" i="1"/>
  <c r="K457" i="1"/>
  <c r="S457" i="1"/>
  <c r="T457" i="1"/>
  <c r="U457" i="1"/>
  <c r="D458" i="1"/>
  <c r="K458" i="1"/>
  <c r="S458" i="1"/>
  <c r="T458" i="1"/>
  <c r="U458" i="1"/>
  <c r="D459" i="1"/>
  <c r="K459" i="1"/>
  <c r="S459" i="1"/>
  <c r="T459" i="1"/>
  <c r="U459" i="1"/>
  <c r="D460" i="1"/>
  <c r="K460" i="1"/>
  <c r="S460" i="1"/>
  <c r="T460" i="1"/>
  <c r="U460" i="1"/>
  <c r="D461" i="1"/>
  <c r="K461" i="1"/>
  <c r="S461" i="1"/>
  <c r="T461" i="1"/>
  <c r="U461" i="1"/>
  <c r="D462" i="1"/>
  <c r="K462" i="1"/>
  <c r="S462" i="1"/>
  <c r="T462" i="1"/>
  <c r="U462" i="1"/>
  <c r="D463" i="1"/>
  <c r="K463" i="1"/>
  <c r="S463" i="1"/>
  <c r="T463" i="1"/>
  <c r="U463" i="1"/>
  <c r="D464" i="1"/>
  <c r="K464" i="1"/>
  <c r="S464" i="1"/>
  <c r="T464" i="1"/>
  <c r="U464" i="1"/>
  <c r="D465" i="1"/>
  <c r="K465" i="1"/>
  <c r="S465" i="1"/>
  <c r="T465" i="1"/>
  <c r="U465" i="1"/>
  <c r="D466" i="1"/>
  <c r="K466" i="1"/>
  <c r="S466" i="1"/>
  <c r="T466" i="1"/>
  <c r="U466" i="1"/>
  <c r="D467" i="1"/>
  <c r="K467" i="1"/>
  <c r="S467" i="1"/>
  <c r="T467" i="1"/>
  <c r="U467" i="1"/>
  <c r="D468" i="1"/>
  <c r="K468" i="1"/>
  <c r="S468" i="1"/>
  <c r="T468" i="1"/>
  <c r="U468" i="1"/>
  <c r="D469" i="1"/>
  <c r="K469" i="1"/>
  <c r="S469" i="1"/>
  <c r="T469" i="1"/>
  <c r="U469" i="1"/>
  <c r="D470" i="1"/>
  <c r="K470" i="1"/>
  <c r="S470" i="1"/>
  <c r="T470" i="1"/>
  <c r="U470" i="1"/>
  <c r="D471" i="1"/>
  <c r="K471" i="1"/>
  <c r="S471" i="1"/>
  <c r="T471" i="1"/>
  <c r="U471" i="1"/>
  <c r="D472" i="1"/>
  <c r="K472" i="1"/>
  <c r="S472" i="1"/>
  <c r="T472" i="1"/>
  <c r="U472" i="1"/>
  <c r="K473" i="1"/>
  <c r="S473" i="1"/>
  <c r="T473" i="1"/>
  <c r="U473" i="1"/>
  <c r="K474" i="1"/>
  <c r="S474" i="1"/>
  <c r="T474" i="1"/>
  <c r="U474" i="1"/>
  <c r="F490" i="1"/>
  <c r="G490" i="1"/>
  <c r="F17" i="8661"/>
  <c r="F19" i="8661"/>
  <c r="F21" i="8661"/>
  <c r="F23" i="8661"/>
  <c r="F25" i="8661"/>
  <c r="F27" i="8661"/>
  <c r="F29" i="8661"/>
  <c r="F31" i="8661"/>
  <c r="F33" i="8661"/>
  <c r="F37" i="8661"/>
  <c r="F55" i="8661"/>
  <c r="F57" i="8661"/>
  <c r="F59" i="8661"/>
  <c r="F61" i="8661"/>
  <c r="F63" i="8661"/>
  <c r="F65" i="8661"/>
  <c r="F81" i="8661"/>
  <c r="F83" i="8661"/>
  <c r="F85" i="8661"/>
  <c r="F87" i="8661"/>
  <c r="F89" i="8661"/>
  <c r="F101" i="8661"/>
  <c r="F103" i="8661"/>
  <c r="F105" i="8661"/>
  <c r="F107" i="8661"/>
  <c r="B2" i="2"/>
  <c r="I2" i="2"/>
  <c r="B3" i="2"/>
  <c r="I3" i="2"/>
  <c r="B4" i="2"/>
  <c r="I4" i="2"/>
  <c r="M4" i="2"/>
  <c r="B5" i="2"/>
  <c r="I5" i="2"/>
  <c r="B6" i="2"/>
  <c r="I6" i="2"/>
  <c r="B7" i="2"/>
  <c r="I7" i="2"/>
  <c r="D8" i="2"/>
  <c r="E8" i="2"/>
  <c r="F8" i="2"/>
  <c r="B8" i="2"/>
  <c r="I8" i="2"/>
  <c r="B9" i="2"/>
  <c r="C9" i="2"/>
  <c r="D9" i="2"/>
  <c r="E9" i="2"/>
  <c r="F9" i="2"/>
  <c r="H9" i="2"/>
  <c r="I9" i="2"/>
  <c r="B10" i="2"/>
  <c r="C10" i="2"/>
  <c r="D10" i="2"/>
  <c r="E10" i="2"/>
  <c r="F10" i="2"/>
  <c r="H10" i="2"/>
  <c r="I10" i="2"/>
  <c r="B11" i="2"/>
  <c r="C11" i="2"/>
  <c r="D11" i="2"/>
  <c r="E11" i="2"/>
  <c r="F11" i="2"/>
  <c r="H11" i="2"/>
  <c r="I11" i="2"/>
  <c r="B12" i="2"/>
  <c r="C12" i="2"/>
  <c r="D12" i="2"/>
  <c r="E12" i="2"/>
  <c r="F12" i="2"/>
  <c r="H12" i="2"/>
  <c r="I12" i="2"/>
  <c r="B13" i="2"/>
  <c r="C13" i="2"/>
  <c r="D13" i="2"/>
  <c r="E13" i="2"/>
  <c r="F13" i="2"/>
  <c r="H13" i="2"/>
  <c r="I13" i="2"/>
  <c r="B14" i="2"/>
  <c r="C14" i="2"/>
  <c r="D14" i="2"/>
  <c r="E14" i="2"/>
  <c r="F14" i="2"/>
  <c r="H14" i="2"/>
  <c r="I14" i="2"/>
  <c r="B15" i="2"/>
  <c r="C15" i="2"/>
  <c r="D15" i="2"/>
  <c r="E15" i="2"/>
  <c r="F15" i="2"/>
  <c r="H15" i="2"/>
  <c r="I15" i="2"/>
  <c r="B16" i="2"/>
  <c r="C16" i="2"/>
  <c r="D16" i="2"/>
  <c r="E16" i="2"/>
  <c r="F16" i="2"/>
  <c r="H16" i="2"/>
  <c r="I16" i="2"/>
  <c r="B17" i="2"/>
  <c r="C17" i="2"/>
  <c r="D17" i="2"/>
  <c r="E17" i="2"/>
  <c r="F17" i="2"/>
  <c r="H17" i="2"/>
  <c r="I17" i="2"/>
  <c r="B18" i="2"/>
  <c r="C18" i="2"/>
  <c r="D18" i="2"/>
  <c r="E18" i="2"/>
  <c r="F18" i="2"/>
  <c r="H18" i="2"/>
  <c r="I18" i="2"/>
  <c r="B19" i="2"/>
  <c r="C19" i="2"/>
  <c r="D19" i="2"/>
  <c r="E19" i="2"/>
  <c r="F19" i="2"/>
  <c r="H19" i="2"/>
  <c r="I19" i="2"/>
  <c r="B20" i="2"/>
  <c r="C20" i="2"/>
  <c r="D20" i="2"/>
  <c r="E20" i="2"/>
  <c r="F20" i="2"/>
  <c r="H20" i="2"/>
  <c r="I20" i="2"/>
  <c r="B21" i="2"/>
  <c r="C21" i="2"/>
  <c r="D21" i="2"/>
  <c r="E21" i="2"/>
  <c r="F21" i="2"/>
  <c r="H21" i="2"/>
  <c r="I21" i="2"/>
  <c r="B22" i="2"/>
  <c r="C22" i="2"/>
  <c r="D22" i="2"/>
  <c r="E22" i="2"/>
  <c r="F22" i="2"/>
  <c r="H22" i="2"/>
  <c r="I22" i="2"/>
  <c r="B23" i="2"/>
  <c r="C23" i="2"/>
  <c r="D23" i="2"/>
  <c r="E23" i="2"/>
  <c r="F23" i="2"/>
  <c r="H23" i="2"/>
  <c r="I23" i="2"/>
  <c r="B24" i="2"/>
  <c r="C24" i="2"/>
  <c r="D24" i="2"/>
  <c r="E24" i="2"/>
  <c r="F24" i="2"/>
  <c r="H24" i="2"/>
  <c r="I24" i="2"/>
  <c r="B25" i="2"/>
  <c r="C25" i="2"/>
  <c r="D25" i="2"/>
  <c r="E25" i="2"/>
  <c r="F25" i="2"/>
  <c r="H25" i="2"/>
  <c r="I25" i="2"/>
  <c r="B26" i="2"/>
  <c r="C26" i="2"/>
  <c r="D26" i="2"/>
  <c r="E26" i="2"/>
  <c r="F26" i="2"/>
  <c r="H26" i="2"/>
  <c r="I26" i="2"/>
  <c r="B27" i="2"/>
  <c r="C27" i="2"/>
  <c r="D27" i="2"/>
  <c r="E27" i="2"/>
  <c r="F27" i="2"/>
  <c r="H27" i="2"/>
  <c r="I27" i="2"/>
  <c r="B28" i="2"/>
  <c r="C28" i="2"/>
  <c r="D28" i="2"/>
  <c r="E28" i="2"/>
  <c r="F28" i="2"/>
  <c r="H28" i="2"/>
  <c r="I28" i="2"/>
  <c r="B29" i="2"/>
  <c r="C29" i="2"/>
  <c r="D29" i="2"/>
  <c r="E29" i="2"/>
  <c r="F29" i="2"/>
  <c r="H29" i="2"/>
  <c r="I29" i="2"/>
  <c r="B30" i="2"/>
  <c r="C30" i="2"/>
  <c r="D30" i="2"/>
  <c r="E30" i="2"/>
  <c r="F30" i="2"/>
  <c r="H30" i="2"/>
  <c r="I30" i="2"/>
  <c r="B31" i="2"/>
  <c r="C31" i="2"/>
  <c r="D31" i="2"/>
  <c r="E31" i="2"/>
  <c r="F31" i="2"/>
  <c r="H31" i="2"/>
  <c r="I31" i="2"/>
  <c r="B32" i="2"/>
  <c r="C32" i="2"/>
  <c r="D32" i="2"/>
  <c r="E32" i="2"/>
  <c r="F32" i="2"/>
  <c r="H32" i="2"/>
  <c r="I32" i="2"/>
  <c r="B33" i="2"/>
  <c r="C33" i="2"/>
  <c r="D33" i="2"/>
  <c r="E33" i="2"/>
  <c r="F33" i="2"/>
  <c r="H33" i="2"/>
  <c r="I33" i="2"/>
  <c r="B34" i="2"/>
  <c r="C34" i="2"/>
  <c r="D34" i="2"/>
  <c r="E34" i="2"/>
  <c r="F34" i="2"/>
  <c r="H34" i="2"/>
  <c r="I34" i="2"/>
  <c r="B35" i="2"/>
  <c r="C35" i="2"/>
  <c r="D35" i="2"/>
  <c r="E35" i="2"/>
  <c r="F35" i="2"/>
  <c r="H35" i="2"/>
  <c r="I35" i="2"/>
  <c r="B36" i="2"/>
  <c r="C36" i="2"/>
  <c r="D36" i="2"/>
  <c r="E36" i="2"/>
  <c r="F36" i="2"/>
  <c r="H36" i="2"/>
  <c r="I36" i="2"/>
  <c r="B37" i="2"/>
  <c r="C37" i="2"/>
  <c r="D37" i="2"/>
  <c r="E37" i="2"/>
  <c r="F37" i="2"/>
  <c r="H37" i="2"/>
  <c r="I37" i="2"/>
  <c r="B38" i="2"/>
  <c r="C38" i="2"/>
  <c r="D38" i="2"/>
  <c r="E38" i="2"/>
  <c r="F38" i="2"/>
  <c r="H38" i="2"/>
  <c r="I38" i="2"/>
  <c r="B39" i="2"/>
  <c r="C39" i="2"/>
  <c r="D39" i="2"/>
  <c r="E39" i="2"/>
  <c r="F39" i="2"/>
  <c r="H39" i="2"/>
  <c r="I39" i="2"/>
  <c r="B40" i="2"/>
  <c r="C40" i="2"/>
  <c r="D40" i="2"/>
  <c r="E40" i="2"/>
  <c r="F40" i="2"/>
  <c r="H40" i="2"/>
  <c r="I40" i="2"/>
  <c r="B41" i="2"/>
  <c r="C41" i="2"/>
  <c r="D41" i="2"/>
  <c r="E41" i="2"/>
  <c r="F41" i="2"/>
  <c r="H41" i="2"/>
  <c r="I41" i="2"/>
  <c r="B42" i="2"/>
  <c r="C42" i="2"/>
  <c r="D42" i="2"/>
  <c r="E42" i="2"/>
  <c r="F42" i="2"/>
  <c r="H42" i="2"/>
  <c r="I42" i="2"/>
  <c r="B51" i="2"/>
  <c r="C51" i="2"/>
  <c r="D51" i="2"/>
  <c r="E51" i="2"/>
  <c r="F51" i="2"/>
  <c r="G51" i="2"/>
  <c r="H54" i="2"/>
  <c r="H55" i="2"/>
  <c r="H51" i="2"/>
  <c r="I51" i="2"/>
  <c r="J51" i="2"/>
  <c r="K51" i="2"/>
  <c r="L51" i="2"/>
  <c r="M51" i="2"/>
  <c r="N51" i="2"/>
  <c r="O51" i="2"/>
  <c r="P51" i="2"/>
  <c r="I52" i="2"/>
  <c r="J52" i="2"/>
  <c r="K52" i="2"/>
  <c r="L52" i="2"/>
  <c r="M52" i="2"/>
  <c r="N52" i="2"/>
  <c r="O52" i="2"/>
  <c r="P52" i="2"/>
  <c r="I53" i="2"/>
  <c r="J53" i="2"/>
  <c r="K53" i="2"/>
  <c r="L53" i="2"/>
  <c r="M53" i="2"/>
  <c r="N53" i="2"/>
  <c r="O53" i="2"/>
  <c r="P53" i="2"/>
  <c r="I54" i="2"/>
  <c r="J54" i="2"/>
  <c r="K54" i="2"/>
  <c r="L54" i="2"/>
  <c r="M54" i="2"/>
  <c r="N54" i="2"/>
  <c r="O54" i="2"/>
  <c r="P54" i="2"/>
  <c r="I55" i="2"/>
  <c r="J55" i="2"/>
  <c r="K55" i="2"/>
  <c r="L55" i="2"/>
  <c r="M55" i="2"/>
  <c r="N55" i="2"/>
  <c r="O55" i="2"/>
  <c r="P55" i="2"/>
  <c r="I57" i="2"/>
  <c r="J57" i="2"/>
  <c r="K57" i="2"/>
  <c r="L57" i="2"/>
  <c r="M57" i="2"/>
  <c r="N57" i="2"/>
  <c r="O57" i="2"/>
  <c r="P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C14" i="56"/>
  <c r="F14" i="56"/>
  <c r="C15" i="56"/>
  <c r="F15" i="56"/>
  <c r="C16" i="56"/>
  <c r="F16" i="56"/>
  <c r="C17" i="56"/>
  <c r="F17" i="56"/>
  <c r="C18" i="56"/>
  <c r="F18" i="56"/>
  <c r="C19" i="56"/>
  <c r="F19" i="56"/>
  <c r="C20" i="56"/>
  <c r="F20" i="56"/>
  <c r="C21" i="56"/>
  <c r="F21" i="56"/>
  <c r="C22" i="56"/>
  <c r="F22" i="56"/>
  <c r="C23" i="56"/>
  <c r="F23" i="56"/>
  <c r="C24" i="56"/>
  <c r="F24" i="56"/>
  <c r="C25" i="56"/>
  <c r="F25" i="56"/>
  <c r="C26" i="56"/>
  <c r="D26" i="56"/>
  <c r="F26" i="56"/>
  <c r="G26" i="56"/>
  <c r="C27" i="56"/>
  <c r="D27" i="56"/>
  <c r="F27" i="56"/>
  <c r="G27" i="56"/>
  <c r="C28" i="56"/>
  <c r="D28" i="56"/>
  <c r="F28" i="56"/>
  <c r="G28" i="56"/>
  <c r="C29" i="56"/>
  <c r="D29" i="56"/>
  <c r="F29" i="56"/>
  <c r="G29" i="56"/>
  <c r="C30" i="56"/>
  <c r="D30" i="56"/>
  <c r="F30" i="56"/>
  <c r="G30" i="56"/>
  <c r="C31" i="56"/>
  <c r="D31" i="56"/>
  <c r="F31" i="56"/>
  <c r="G31" i="56"/>
  <c r="C32" i="56"/>
  <c r="D32" i="56"/>
  <c r="F32" i="56"/>
  <c r="G32" i="56"/>
  <c r="C33" i="56"/>
  <c r="D33" i="56"/>
  <c r="F33" i="56"/>
  <c r="G33" i="56"/>
  <c r="C34" i="56"/>
  <c r="D34" i="56"/>
  <c r="F34" i="56"/>
  <c r="G34" i="56"/>
  <c r="C35" i="56"/>
  <c r="D35" i="56"/>
  <c r="F35" i="56"/>
  <c r="G35" i="56"/>
  <c r="C36" i="56"/>
  <c r="D36" i="56"/>
  <c r="F36" i="56"/>
  <c r="G36" i="56"/>
  <c r="C37" i="56"/>
  <c r="D37" i="56"/>
  <c r="F37" i="56"/>
  <c r="G37" i="56"/>
  <c r="C38" i="56"/>
  <c r="D38" i="56"/>
  <c r="F38" i="56"/>
  <c r="G38" i="56"/>
  <c r="C39" i="56"/>
  <c r="D39" i="56"/>
  <c r="F39" i="56"/>
  <c r="G39" i="56"/>
  <c r="C40" i="56"/>
  <c r="D40" i="56"/>
  <c r="F40" i="56"/>
  <c r="G40" i="56"/>
  <c r="C41" i="56"/>
  <c r="D41" i="56"/>
  <c r="F41" i="56"/>
  <c r="G41" i="56"/>
  <c r="C42" i="56"/>
  <c r="D42" i="56"/>
  <c r="F42" i="56"/>
  <c r="G42" i="56"/>
  <c r="C43" i="56"/>
  <c r="D43" i="56"/>
  <c r="F43" i="56"/>
  <c r="G43" i="56"/>
  <c r="C44" i="56"/>
  <c r="D44" i="56"/>
  <c r="F44" i="56"/>
  <c r="G44" i="56"/>
  <c r="C45" i="56"/>
  <c r="D45" i="56"/>
  <c r="F45" i="56"/>
  <c r="G45" i="56"/>
  <c r="C46" i="56"/>
  <c r="D46" i="56"/>
  <c r="F46" i="56"/>
  <c r="G46" i="56"/>
  <c r="C47" i="56"/>
  <c r="D47" i="56"/>
  <c r="F47" i="56"/>
  <c r="G47" i="56"/>
  <c r="C48" i="56"/>
  <c r="D48" i="56"/>
  <c r="F48" i="56"/>
  <c r="G48" i="56"/>
  <c r="C49" i="56"/>
  <c r="D49" i="56"/>
  <c r="F49" i="56"/>
  <c r="G49" i="56"/>
  <c r="C50" i="56"/>
  <c r="D50" i="56"/>
  <c r="F50" i="56"/>
  <c r="G50" i="56"/>
  <c r="C51" i="56"/>
  <c r="D51" i="56"/>
  <c r="F51" i="56"/>
  <c r="G51" i="56"/>
  <c r="C60" i="56"/>
  <c r="F60" i="56"/>
  <c r="B4" i="8653"/>
  <c r="C4" i="8653"/>
  <c r="B5" i="8653"/>
  <c r="C5" i="8653"/>
  <c r="B10" i="8653"/>
  <c r="B11" i="8653"/>
  <c r="B13" i="8653"/>
  <c r="B17" i="8653"/>
  <c r="B19" i="8653"/>
  <c r="B21" i="8653"/>
  <c r="B23" i="8653"/>
  <c r="B24" i="8653"/>
  <c r="B29" i="8653"/>
  <c r="C29" i="8653"/>
  <c r="T5" i="46"/>
  <c r="Z5" i="46"/>
  <c r="AJ5" i="46"/>
  <c r="AK5" i="46"/>
  <c r="AL5" i="46"/>
  <c r="T6" i="46"/>
  <c r="V6" i="46"/>
  <c r="Z6" i="46"/>
  <c r="AJ6" i="46"/>
  <c r="AK6" i="46"/>
  <c r="AL6" i="46"/>
  <c r="T7" i="46"/>
  <c r="V7" i="46"/>
  <c r="Z7" i="46"/>
  <c r="AI7" i="46"/>
  <c r="AJ7" i="46"/>
  <c r="AK7" i="46"/>
  <c r="AL7" i="46"/>
  <c r="T8" i="46"/>
  <c r="V8" i="46"/>
  <c r="Z8" i="46"/>
  <c r="AJ8" i="46"/>
  <c r="AK8" i="46"/>
  <c r="AL8" i="46"/>
  <c r="T9" i="46"/>
  <c r="V9" i="46"/>
  <c r="Z9" i="46"/>
  <c r="AJ9" i="46"/>
  <c r="AK9" i="46"/>
  <c r="AL9" i="46"/>
  <c r="T10" i="46"/>
  <c r="V10" i="46"/>
  <c r="Z10" i="46"/>
  <c r="AI10" i="46"/>
  <c r="AJ10" i="46"/>
  <c r="AK10" i="46"/>
  <c r="AL10" i="46"/>
  <c r="T11" i="46"/>
  <c r="V11" i="46"/>
  <c r="Z11" i="46"/>
  <c r="AJ11" i="46"/>
  <c r="AK11" i="46"/>
  <c r="AL11" i="46"/>
  <c r="T12" i="46"/>
  <c r="V12" i="46"/>
  <c r="Z12" i="46"/>
  <c r="AJ12" i="46"/>
  <c r="AK12" i="46"/>
  <c r="AL12" i="46"/>
  <c r="T13" i="46"/>
  <c r="V13" i="46"/>
  <c r="Y13" i="46"/>
  <c r="Z13" i="46"/>
  <c r="AD13" i="46"/>
  <c r="AJ13" i="46"/>
  <c r="AK13" i="46"/>
  <c r="AL13" i="46"/>
  <c r="T14" i="46"/>
  <c r="V14" i="46"/>
  <c r="Z14" i="46"/>
  <c r="AJ14" i="46"/>
  <c r="AK14" i="46"/>
  <c r="AL14" i="46"/>
  <c r="T15" i="46"/>
  <c r="V15" i="46"/>
  <c r="Z15" i="46"/>
  <c r="AJ15" i="46"/>
  <c r="AK15" i="46"/>
  <c r="AL15" i="46"/>
  <c r="J16" i="46"/>
  <c r="R16" i="46"/>
  <c r="T16" i="46"/>
  <c r="V16" i="46"/>
  <c r="X16" i="46"/>
  <c r="Y16" i="46"/>
  <c r="Z16" i="46"/>
  <c r="AA16" i="46"/>
  <c r="AB16" i="46"/>
  <c r="AC16" i="46"/>
  <c r="AD16" i="46"/>
  <c r="AJ16" i="46"/>
  <c r="I17" i="46"/>
  <c r="J17" i="46"/>
  <c r="O17" i="46"/>
  <c r="R17" i="46"/>
  <c r="T17" i="46"/>
  <c r="V17" i="46"/>
  <c r="X17" i="46"/>
  <c r="Z17" i="46"/>
  <c r="AA17" i="46"/>
  <c r="AB17" i="46"/>
  <c r="AC17" i="46"/>
  <c r="AJ17" i="46"/>
  <c r="AK17" i="46"/>
  <c r="AL17" i="46"/>
  <c r="AN17" i="46"/>
  <c r="AO17" i="46"/>
  <c r="AS17" i="46"/>
  <c r="J18" i="46"/>
  <c r="R18" i="46"/>
  <c r="T18" i="46"/>
  <c r="V18" i="46"/>
  <c r="X18" i="46"/>
  <c r="Z18" i="46"/>
  <c r="AA18" i="46"/>
  <c r="AB18" i="46"/>
  <c r="AC18" i="46"/>
  <c r="AJ18" i="46"/>
  <c r="AK18" i="46"/>
  <c r="AL18" i="46"/>
  <c r="AN18" i="46"/>
  <c r="AO18" i="46"/>
  <c r="J19" i="46"/>
  <c r="R19" i="46"/>
  <c r="T19" i="46"/>
  <c r="V19" i="46"/>
  <c r="X19" i="46"/>
  <c r="Y19" i="46"/>
  <c r="Z19" i="46"/>
  <c r="AA19" i="46"/>
  <c r="AB19" i="46"/>
  <c r="AC19" i="46"/>
  <c r="AD19" i="46"/>
  <c r="AI19" i="46"/>
  <c r="AJ19" i="46"/>
  <c r="AK19" i="46"/>
  <c r="AL19" i="46"/>
  <c r="AN19" i="46"/>
  <c r="AO19" i="46"/>
  <c r="I20" i="46"/>
  <c r="J20" i="46"/>
  <c r="O20" i="46"/>
  <c r="R20" i="46"/>
  <c r="T20" i="46"/>
  <c r="V20" i="46"/>
  <c r="X20" i="46"/>
  <c r="Z20" i="46"/>
  <c r="AA20" i="46"/>
  <c r="AB20" i="46"/>
  <c r="AC20" i="46"/>
  <c r="AJ20" i="46"/>
  <c r="AK20" i="46"/>
  <c r="AL20" i="46"/>
  <c r="AN20" i="46"/>
  <c r="AO20" i="46"/>
  <c r="AS20" i="46"/>
  <c r="I21" i="46"/>
  <c r="J21" i="46"/>
  <c r="O21" i="46"/>
  <c r="R21" i="46"/>
  <c r="T21" i="46"/>
  <c r="V21" i="46"/>
  <c r="X21" i="46"/>
  <c r="Z21" i="46"/>
  <c r="AA21" i="46"/>
  <c r="AB21" i="46"/>
  <c r="AC21" i="46"/>
  <c r="AJ21" i="46"/>
  <c r="AH21" i="46"/>
  <c r="AK21" i="46"/>
  <c r="AL21" i="46"/>
  <c r="AN21" i="46"/>
  <c r="AO21" i="46"/>
  <c r="AS21" i="46"/>
  <c r="J22" i="46"/>
  <c r="O22" i="46"/>
  <c r="R22" i="46"/>
  <c r="T22" i="46"/>
  <c r="V22" i="46"/>
  <c r="X22" i="46"/>
  <c r="Y22" i="46"/>
  <c r="Z22" i="46"/>
  <c r="AA22" i="46"/>
  <c r="AB22" i="46"/>
  <c r="AC22" i="46"/>
  <c r="AD22" i="46"/>
  <c r="AJ22" i="46"/>
  <c r="AH22" i="46"/>
  <c r="AI22" i="46"/>
  <c r="AK22" i="46"/>
  <c r="AL22" i="46"/>
  <c r="AN22" i="46"/>
  <c r="AO22" i="46"/>
  <c r="I23" i="46"/>
  <c r="J23" i="46"/>
  <c r="O23" i="46"/>
  <c r="R23" i="46"/>
  <c r="T23" i="46"/>
  <c r="V23" i="46"/>
  <c r="X23" i="46"/>
  <c r="Z23" i="46"/>
  <c r="AA23" i="46"/>
  <c r="AB23" i="46"/>
  <c r="AC23" i="46"/>
  <c r="AJ23" i="46"/>
  <c r="AH23" i="46"/>
  <c r="AK23" i="46"/>
  <c r="AL23" i="46"/>
  <c r="AN23" i="46"/>
  <c r="AO23" i="46"/>
  <c r="AS23" i="46"/>
  <c r="I24" i="46"/>
  <c r="J24" i="46"/>
  <c r="O24" i="46"/>
  <c r="R24" i="46"/>
  <c r="T24" i="46"/>
  <c r="V24" i="46"/>
  <c r="X24" i="46"/>
  <c r="Z24" i="46"/>
  <c r="AA24" i="46"/>
  <c r="AB24" i="46"/>
  <c r="AC24" i="46"/>
  <c r="AJ24" i="46"/>
  <c r="AH24" i="46"/>
  <c r="AK24" i="46"/>
  <c r="AL24" i="46"/>
  <c r="AN24" i="46"/>
  <c r="AO24" i="46"/>
  <c r="AS24" i="46"/>
  <c r="I25" i="46"/>
  <c r="J25" i="46"/>
  <c r="O25" i="46"/>
  <c r="R25" i="46"/>
  <c r="T25" i="46"/>
  <c r="V25" i="46"/>
  <c r="X25" i="46"/>
  <c r="Y25" i="46"/>
  <c r="Z25" i="46"/>
  <c r="AA25" i="46"/>
  <c r="AB25" i="46"/>
  <c r="AC25" i="46"/>
  <c r="AD25" i="46"/>
  <c r="AJ25" i="46"/>
  <c r="AH25" i="46"/>
  <c r="AK25" i="46"/>
  <c r="AL25" i="46"/>
  <c r="AN25" i="46"/>
  <c r="AO25" i="46"/>
  <c r="AS25" i="46"/>
  <c r="J26" i="46"/>
  <c r="O26" i="46"/>
  <c r="R26" i="46"/>
  <c r="T26" i="46"/>
  <c r="V26" i="46"/>
  <c r="X26" i="46"/>
  <c r="Z26" i="46"/>
  <c r="AA26" i="46"/>
  <c r="AB26" i="46"/>
  <c r="AC26" i="46"/>
  <c r="AJ26" i="46"/>
  <c r="AH26" i="46"/>
  <c r="AK26" i="46"/>
  <c r="AL26" i="46"/>
  <c r="AN26" i="46"/>
  <c r="AO26" i="46"/>
  <c r="I27" i="46"/>
  <c r="J27" i="46"/>
  <c r="O27" i="46"/>
  <c r="R27" i="46"/>
  <c r="T27" i="46"/>
  <c r="V27" i="46"/>
  <c r="X27" i="46"/>
  <c r="Z27" i="46"/>
  <c r="AA27" i="46"/>
  <c r="AB27" i="46"/>
  <c r="AC27" i="46"/>
  <c r="AJ27" i="46"/>
  <c r="AH27" i="46"/>
  <c r="AK27" i="46"/>
  <c r="AL27" i="46"/>
  <c r="AN27" i="46"/>
  <c r="AO27" i="46"/>
  <c r="AS27" i="46"/>
  <c r="I28" i="46"/>
  <c r="J28" i="46"/>
  <c r="O28" i="46"/>
  <c r="R28" i="46"/>
  <c r="T28" i="46"/>
  <c r="V28" i="46"/>
  <c r="X28" i="46"/>
  <c r="Y28" i="46"/>
  <c r="Z28" i="46"/>
  <c r="AA28" i="46"/>
  <c r="AB28" i="46"/>
  <c r="AC28" i="46"/>
  <c r="AD28" i="46"/>
  <c r="AJ28" i="46"/>
  <c r="AH28" i="46"/>
  <c r="AK28" i="46"/>
  <c r="AL28" i="46"/>
  <c r="AN28" i="46"/>
  <c r="AO28" i="46"/>
  <c r="AS28" i="46"/>
  <c r="I29" i="46"/>
  <c r="J29" i="46"/>
  <c r="O29" i="46"/>
  <c r="R29" i="46"/>
  <c r="T29" i="46"/>
  <c r="V29" i="46"/>
  <c r="X29" i="46"/>
  <c r="Z29" i="46"/>
  <c r="AA29" i="46"/>
  <c r="AB29" i="46"/>
  <c r="AC29" i="46"/>
  <c r="AF29" i="46"/>
  <c r="AJ29" i="46"/>
  <c r="AH29" i="46"/>
  <c r="AK29" i="46"/>
  <c r="AL29" i="46"/>
  <c r="AN29" i="46"/>
  <c r="AO29" i="46"/>
  <c r="AS29" i="46"/>
  <c r="I30" i="46"/>
  <c r="J30" i="46"/>
  <c r="O30" i="46"/>
  <c r="R30" i="46"/>
  <c r="T30" i="46"/>
  <c r="V30" i="46"/>
  <c r="X30" i="46"/>
  <c r="Z30" i="46"/>
  <c r="AA30" i="46"/>
  <c r="AB30" i="46"/>
  <c r="AC30" i="46"/>
  <c r="AF30" i="46"/>
  <c r="AJ30" i="46"/>
  <c r="AH30" i="46"/>
  <c r="AK30" i="46"/>
  <c r="AL30" i="46"/>
  <c r="AN30" i="46"/>
  <c r="AO30" i="46"/>
  <c r="AS30" i="46"/>
  <c r="I31" i="46"/>
  <c r="J31" i="46"/>
  <c r="O31" i="46"/>
  <c r="R31" i="46"/>
  <c r="T31" i="46"/>
  <c r="V31" i="46"/>
  <c r="X31" i="46"/>
  <c r="Y31" i="46"/>
  <c r="Z31" i="46"/>
  <c r="AA31" i="46"/>
  <c r="AB31" i="46"/>
  <c r="AC31" i="46"/>
  <c r="AD31" i="46"/>
  <c r="AF31" i="46"/>
  <c r="AJ31" i="46"/>
  <c r="AH31" i="46"/>
  <c r="AI31" i="46"/>
  <c r="AK31" i="46"/>
  <c r="AL31" i="46"/>
  <c r="AN31" i="46"/>
  <c r="AO31" i="46"/>
  <c r="AS31" i="46"/>
  <c r="I32" i="46"/>
  <c r="J32" i="46"/>
  <c r="O32" i="46"/>
  <c r="R32" i="46"/>
  <c r="T32" i="46"/>
  <c r="V32" i="46"/>
  <c r="X32" i="46"/>
  <c r="Z32" i="46"/>
  <c r="AA32" i="46"/>
  <c r="AB32" i="46"/>
  <c r="AC32" i="46"/>
  <c r="AF32" i="46"/>
  <c r="AJ32" i="46"/>
  <c r="AH32" i="46"/>
  <c r="AK32" i="46"/>
  <c r="AL32" i="46"/>
  <c r="AN32" i="46"/>
  <c r="AO32" i="46"/>
  <c r="AS32" i="46"/>
  <c r="E33" i="46"/>
  <c r="I33" i="46"/>
  <c r="J33" i="46"/>
  <c r="O33" i="46"/>
  <c r="R33" i="46"/>
  <c r="T33" i="46"/>
  <c r="V33" i="46"/>
  <c r="X33" i="46"/>
  <c r="Z33" i="46"/>
  <c r="AA33" i="46"/>
  <c r="AB33" i="46"/>
  <c r="AC33" i="46"/>
  <c r="AF33" i="46"/>
  <c r="AJ33" i="46"/>
  <c r="AH33" i="46"/>
  <c r="AK33" i="46"/>
  <c r="AL33" i="46"/>
  <c r="AN33" i="46"/>
  <c r="AO33" i="46"/>
  <c r="AS33" i="46"/>
  <c r="I34" i="46"/>
  <c r="J34" i="46"/>
  <c r="O34" i="46"/>
  <c r="R34" i="46"/>
  <c r="T34" i="46"/>
  <c r="V34" i="46"/>
  <c r="X34" i="46"/>
  <c r="Y34" i="46"/>
  <c r="Z34" i="46"/>
  <c r="AA34" i="46"/>
  <c r="AB34" i="46"/>
  <c r="AC34" i="46"/>
  <c r="AD34" i="46"/>
  <c r="AF34" i="46"/>
  <c r="AJ34" i="46"/>
  <c r="AH34" i="46"/>
  <c r="AI34" i="46"/>
  <c r="AK34" i="46"/>
  <c r="AL34" i="46"/>
  <c r="AN34" i="46"/>
  <c r="AO34" i="46"/>
  <c r="AS34" i="46"/>
  <c r="AV34" i="46"/>
  <c r="I35" i="46"/>
  <c r="J35" i="46"/>
  <c r="O35" i="46"/>
  <c r="R35" i="46"/>
  <c r="T35" i="46"/>
  <c r="V35" i="46"/>
  <c r="X35" i="46"/>
  <c r="Z35" i="46"/>
  <c r="AA35" i="46"/>
  <c r="AB35" i="46"/>
  <c r="AC35" i="46"/>
  <c r="AF35" i="46"/>
  <c r="AJ35" i="46"/>
  <c r="AH35" i="46"/>
  <c r="AI35" i="46"/>
  <c r="AK35" i="46"/>
  <c r="AL35" i="46"/>
  <c r="AS35" i="46"/>
  <c r="AV35" i="46"/>
  <c r="I36" i="46"/>
  <c r="J36" i="46"/>
  <c r="O36" i="46"/>
  <c r="R36" i="46"/>
  <c r="T36" i="46"/>
  <c r="V36" i="46"/>
  <c r="X36" i="46"/>
  <c r="Z36" i="46"/>
  <c r="AA36" i="46"/>
  <c r="AB36" i="46"/>
  <c r="AC36" i="46"/>
  <c r="AF36" i="46"/>
  <c r="AJ36" i="46"/>
  <c r="AH36" i="46"/>
  <c r="AI36" i="46"/>
  <c r="AK36" i="46"/>
  <c r="AL36" i="46"/>
  <c r="AS36" i="46"/>
  <c r="AV36" i="46"/>
  <c r="I37" i="46"/>
  <c r="J37" i="46"/>
  <c r="O37" i="46"/>
  <c r="R37" i="46"/>
  <c r="T37" i="46"/>
  <c r="V37" i="46"/>
  <c r="X37" i="46"/>
  <c r="Y37" i="46"/>
  <c r="Z37" i="46"/>
  <c r="AA37" i="46"/>
  <c r="AB37" i="46"/>
  <c r="AC37" i="46"/>
  <c r="AD37" i="46"/>
  <c r="AF37" i="46"/>
  <c r="AJ37" i="46"/>
  <c r="AH37" i="46"/>
  <c r="AK37" i="46"/>
  <c r="AL37" i="46"/>
  <c r="AS37" i="46"/>
  <c r="AV37" i="46"/>
  <c r="J38" i="46"/>
  <c r="O38" i="46"/>
  <c r="R38" i="46"/>
  <c r="T38" i="46"/>
  <c r="V38" i="46"/>
  <c r="X38" i="46"/>
  <c r="Z38" i="46"/>
  <c r="AA38" i="46"/>
  <c r="AB38" i="46"/>
  <c r="AC38" i="46"/>
  <c r="AF38" i="46"/>
  <c r="AJ38" i="46"/>
  <c r="AH38" i="46"/>
  <c r="I39" i="46"/>
  <c r="O39" i="46"/>
  <c r="T39" i="46"/>
  <c r="E40" i="46"/>
  <c r="I40" i="46"/>
  <c r="O40" i="46"/>
  <c r="T40" i="46"/>
  <c r="I41" i="46"/>
  <c r="O41" i="46"/>
  <c r="T41" i="46"/>
  <c r="I42" i="46"/>
  <c r="O42" i="46"/>
  <c r="T42" i="46"/>
  <c r="I43" i="46"/>
  <c r="O43" i="46"/>
  <c r="T43" i="46"/>
  <c r="AI38" i="46"/>
  <c r="AK38" i="46"/>
  <c r="AL38" i="46"/>
  <c r="AV38" i="46"/>
  <c r="J39" i="46"/>
  <c r="R39" i="46"/>
  <c r="V39" i="46"/>
  <c r="X39" i="46"/>
  <c r="Z39" i="46"/>
  <c r="AA39" i="46"/>
  <c r="AB39" i="46"/>
  <c r="AC39" i="46"/>
  <c r="AF39" i="46"/>
  <c r="AJ39" i="46"/>
  <c r="AH39" i="46"/>
  <c r="AK39" i="46"/>
  <c r="AL39" i="46"/>
  <c r="AS39" i="46"/>
  <c r="AV39" i="46"/>
  <c r="J40" i="46"/>
  <c r="R40" i="46"/>
  <c r="V40" i="46"/>
  <c r="X40" i="46"/>
  <c r="Y40" i="46"/>
  <c r="Z40" i="46"/>
  <c r="AA40" i="46"/>
  <c r="AB40" i="46"/>
  <c r="AC40" i="46"/>
  <c r="AD40" i="46"/>
  <c r="AF40" i="46"/>
  <c r="AG40" i="46"/>
  <c r="AJ40" i="46"/>
  <c r="AH40" i="46"/>
  <c r="AK40" i="46"/>
  <c r="AL40" i="46"/>
  <c r="AS40" i="46"/>
  <c r="AV40" i="46"/>
  <c r="J41" i="46"/>
  <c r="R41" i="46"/>
  <c r="U41" i="46"/>
  <c r="V41" i="46"/>
  <c r="X41" i="46"/>
  <c r="Z41" i="46"/>
  <c r="AA41" i="46"/>
  <c r="AB41" i="46"/>
  <c r="AC41" i="46"/>
  <c r="AG41" i="46"/>
  <c r="AJ41" i="46"/>
  <c r="AH41" i="46"/>
  <c r="AK41" i="46"/>
  <c r="AL41" i="46"/>
  <c r="AS41" i="46"/>
  <c r="AV41" i="46"/>
  <c r="J42" i="46"/>
  <c r="R42" i="46"/>
  <c r="U42" i="46"/>
  <c r="V42" i="46"/>
  <c r="X42" i="46"/>
  <c r="Z42" i="46"/>
  <c r="AA42" i="46"/>
  <c r="AB42" i="46"/>
  <c r="AC42" i="46"/>
  <c r="AG42" i="46"/>
  <c r="AJ42" i="46"/>
  <c r="AH42" i="46"/>
  <c r="AK42" i="46"/>
  <c r="AL42" i="46"/>
  <c r="AS42" i="46"/>
  <c r="AV42" i="46"/>
  <c r="AX42" i="46"/>
  <c r="J43" i="46"/>
  <c r="R43" i="46"/>
  <c r="U43" i="46"/>
  <c r="V43" i="46"/>
  <c r="X43" i="46"/>
  <c r="Y43" i="46"/>
  <c r="Z43" i="46"/>
  <c r="AA43" i="46"/>
  <c r="AB43" i="46"/>
  <c r="AC43" i="46"/>
  <c r="AD43" i="46"/>
  <c r="AG43" i="46"/>
  <c r="AJ43" i="46"/>
  <c r="AH43" i="46"/>
  <c r="AK43" i="46"/>
  <c r="AL43" i="46"/>
  <c r="AS43" i="46"/>
  <c r="AV43" i="46"/>
  <c r="AX43" i="46"/>
  <c r="I44" i="46"/>
  <c r="J44" i="46"/>
  <c r="O44" i="46"/>
  <c r="R44" i="46"/>
  <c r="T44" i="46"/>
  <c r="U44" i="46"/>
  <c r="V44" i="46"/>
  <c r="X44" i="46"/>
  <c r="Z44" i="46"/>
  <c r="AA44" i="46"/>
  <c r="AB44" i="46"/>
  <c r="AC44" i="46"/>
  <c r="AG44" i="46"/>
  <c r="AJ44" i="46"/>
  <c r="AH44" i="46"/>
  <c r="AK44" i="46"/>
  <c r="AL44" i="46"/>
  <c r="AS44" i="46"/>
  <c r="AV44" i="46"/>
  <c r="AX44" i="46"/>
  <c r="I45" i="46"/>
  <c r="J45" i="46"/>
  <c r="O45" i="46"/>
  <c r="R45" i="46"/>
  <c r="T45" i="46"/>
  <c r="U45" i="46"/>
  <c r="V45" i="46"/>
  <c r="X45" i="46"/>
  <c r="Z45" i="46"/>
  <c r="AA45" i="46"/>
  <c r="AB45" i="46"/>
  <c r="AC45" i="46"/>
  <c r="AG45" i="46"/>
  <c r="AJ45" i="46"/>
  <c r="AH45" i="46"/>
  <c r="AK45" i="46"/>
  <c r="AL45" i="46"/>
  <c r="AS45" i="46"/>
  <c r="I46" i="46"/>
  <c r="J46" i="46"/>
  <c r="O46" i="46"/>
  <c r="R46" i="46"/>
  <c r="T46" i="46"/>
  <c r="U46" i="46"/>
  <c r="V46" i="46"/>
  <c r="X46" i="46"/>
  <c r="Y46" i="46"/>
  <c r="Z46" i="46"/>
  <c r="AA46" i="46"/>
  <c r="AB46" i="46"/>
  <c r="AC46" i="46"/>
  <c r="AG46" i="46"/>
  <c r="AJ46" i="46"/>
  <c r="AH46" i="46"/>
  <c r="AK46" i="46"/>
  <c r="AL46" i="46"/>
  <c r="AS46" i="46"/>
  <c r="J47" i="46"/>
  <c r="O47" i="46"/>
  <c r="R47" i="46"/>
  <c r="T47" i="46"/>
  <c r="U47" i="46"/>
  <c r="V47" i="46"/>
  <c r="X47" i="46"/>
  <c r="Z47" i="46"/>
  <c r="AA47" i="46"/>
  <c r="AB47" i="46"/>
  <c r="AC47" i="46"/>
  <c r="AG47" i="46"/>
  <c r="AJ47" i="46"/>
  <c r="AH47" i="46"/>
  <c r="AK47" i="46"/>
  <c r="AL47" i="46"/>
  <c r="O48" i="46"/>
  <c r="T48" i="46"/>
  <c r="X48" i="46"/>
  <c r="C48" i="46"/>
  <c r="J48" i="46"/>
  <c r="R48" i="46"/>
  <c r="U48" i="46"/>
  <c r="V48" i="46"/>
  <c r="Z48" i="46"/>
  <c r="AA48" i="46"/>
  <c r="AB48" i="46"/>
  <c r="AC48" i="46"/>
  <c r="AG48" i="46"/>
  <c r="AJ48" i="46"/>
  <c r="AH48" i="46"/>
  <c r="AK48" i="46"/>
  <c r="AL48" i="46"/>
  <c r="T49" i="46"/>
  <c r="X49" i="46"/>
  <c r="C49" i="46"/>
  <c r="J49" i="46"/>
  <c r="R49" i="46"/>
  <c r="S49" i="46"/>
  <c r="U49" i="46"/>
  <c r="V49" i="46"/>
  <c r="Z49" i="46"/>
  <c r="AA49" i="46"/>
  <c r="AB49" i="46"/>
  <c r="AC49" i="46"/>
  <c r="AG49" i="46"/>
  <c r="AJ49" i="46"/>
  <c r="AH49" i="46"/>
  <c r="AK49" i="46"/>
  <c r="AL49" i="46"/>
  <c r="O50" i="46"/>
  <c r="T50" i="46"/>
  <c r="X50" i="46"/>
  <c r="C50" i="46"/>
  <c r="J50" i="46"/>
  <c r="R50" i="46"/>
  <c r="S50" i="46"/>
  <c r="U50" i="46"/>
  <c r="V50" i="46"/>
  <c r="Z50" i="46"/>
  <c r="AA50" i="46"/>
  <c r="AB50" i="46"/>
  <c r="AC50" i="46"/>
  <c r="AG50" i="46"/>
  <c r="AJ50" i="46"/>
  <c r="AH50" i="46"/>
  <c r="AK50" i="46"/>
  <c r="AL50" i="46"/>
  <c r="D51" i="46"/>
  <c r="O51" i="46"/>
  <c r="T51" i="46"/>
  <c r="X51" i="46"/>
  <c r="C51" i="46"/>
  <c r="J51" i="46"/>
  <c r="R51" i="46"/>
  <c r="S51" i="46"/>
  <c r="U51" i="46"/>
  <c r="V51" i="46"/>
  <c r="Z51" i="46"/>
  <c r="AA51" i="46"/>
  <c r="AB51" i="46"/>
  <c r="AC51" i="46"/>
  <c r="AG51" i="46"/>
  <c r="AJ51" i="46"/>
  <c r="AH51" i="46"/>
  <c r="AK51" i="46"/>
  <c r="AL51" i="46"/>
  <c r="O52" i="46"/>
  <c r="T52" i="46"/>
  <c r="X52" i="46"/>
  <c r="C52" i="46"/>
  <c r="J52" i="46"/>
  <c r="R52" i="46"/>
  <c r="S52" i="46"/>
  <c r="U52" i="46"/>
  <c r="V52" i="46"/>
  <c r="Y52" i="46"/>
  <c r="Z52" i="46"/>
  <c r="AA52" i="46"/>
  <c r="AB52" i="46"/>
  <c r="AC52" i="46"/>
  <c r="AG52" i="46"/>
  <c r="AJ52" i="46"/>
  <c r="AH52" i="46"/>
  <c r="AK52" i="46"/>
  <c r="AL52" i="46"/>
  <c r="O53" i="46"/>
  <c r="T53" i="46"/>
  <c r="X53" i="46"/>
  <c r="C53" i="46"/>
  <c r="J53" i="46"/>
  <c r="R53" i="46"/>
  <c r="S53" i="46"/>
  <c r="V53" i="46"/>
  <c r="Z53" i="46"/>
  <c r="AA53" i="46"/>
  <c r="AB53" i="46"/>
  <c r="AC53" i="46"/>
  <c r="AG53" i="46"/>
  <c r="AJ53" i="46"/>
  <c r="AH53" i="46"/>
  <c r="AK53" i="46"/>
  <c r="AL53" i="46"/>
  <c r="O54" i="46"/>
  <c r="T54" i="46"/>
  <c r="X54" i="46"/>
  <c r="C54" i="46"/>
  <c r="J54" i="46"/>
  <c r="R54" i="46"/>
  <c r="S54" i="46"/>
  <c r="V54" i="46"/>
  <c r="Z54" i="46"/>
  <c r="AA54" i="46"/>
  <c r="AB54" i="46"/>
  <c r="AC54" i="46"/>
  <c r="AG54" i="46"/>
  <c r="AJ54" i="46"/>
  <c r="AH54" i="46"/>
  <c r="AK54" i="46"/>
  <c r="AL54" i="46"/>
  <c r="O55" i="46"/>
  <c r="T55" i="46"/>
  <c r="X55" i="46"/>
  <c r="C55" i="46"/>
  <c r="J55" i="46"/>
  <c r="R55" i="46"/>
  <c r="S55" i="46"/>
  <c r="V55" i="46"/>
  <c r="Y55" i="46"/>
  <c r="Z55" i="46"/>
  <c r="AA55" i="46"/>
  <c r="AB55" i="46"/>
  <c r="AC55" i="46"/>
  <c r="AG55" i="46"/>
  <c r="AJ55" i="46"/>
  <c r="AH55" i="46"/>
  <c r="AK55" i="46"/>
  <c r="AL55" i="46"/>
  <c r="J56" i="46"/>
  <c r="O56" i="46"/>
  <c r="R56" i="46"/>
  <c r="S56" i="46"/>
  <c r="T56" i="46"/>
  <c r="V56" i="46"/>
  <c r="X56" i="46"/>
  <c r="Y56" i="46"/>
  <c r="Z56" i="46"/>
  <c r="AA56" i="46"/>
  <c r="AB56" i="46"/>
  <c r="AC56" i="46"/>
  <c r="AG56" i="46"/>
  <c r="AJ56" i="46"/>
  <c r="AH56" i="46"/>
  <c r="AK56" i="46"/>
  <c r="AL56" i="46"/>
  <c r="J57" i="46"/>
  <c r="O57" i="46"/>
  <c r="R57" i="46"/>
  <c r="S57" i="46"/>
  <c r="T57" i="46"/>
  <c r="V57" i="46"/>
  <c r="X57" i="46"/>
  <c r="Y57" i="46"/>
  <c r="Z57" i="46"/>
  <c r="AA57" i="46"/>
  <c r="AB57" i="46"/>
  <c r="AC57" i="46"/>
  <c r="AG57" i="46"/>
  <c r="AJ57" i="46"/>
  <c r="AH57" i="46"/>
  <c r="AK57" i="46"/>
  <c r="AL57" i="46"/>
  <c r="J58" i="46"/>
  <c r="O58" i="46"/>
  <c r="R58" i="46"/>
  <c r="S58" i="46"/>
  <c r="T58" i="46"/>
  <c r="V58" i="46"/>
  <c r="X58" i="46"/>
  <c r="Y58" i="46"/>
  <c r="Z58" i="46"/>
  <c r="AA58" i="46"/>
  <c r="AB58" i="46"/>
  <c r="AC58" i="46"/>
  <c r="AG58" i="46"/>
  <c r="AJ58" i="46"/>
  <c r="AH58" i="46"/>
  <c r="AK58" i="46"/>
  <c r="AL58" i="46"/>
  <c r="J59" i="46"/>
  <c r="O59" i="46"/>
  <c r="R59" i="46"/>
  <c r="S59" i="46"/>
  <c r="T59" i="46"/>
  <c r="V59" i="46"/>
  <c r="X59" i="46"/>
  <c r="Z59" i="46"/>
  <c r="AA59" i="46"/>
  <c r="AB59" i="46"/>
  <c r="AC59" i="46"/>
  <c r="AG59" i="46"/>
  <c r="AJ59" i="46"/>
  <c r="AH59" i="46"/>
  <c r="AK59" i="46"/>
  <c r="AL59" i="46"/>
  <c r="J60" i="46"/>
  <c r="O60" i="46"/>
  <c r="R60" i="46"/>
  <c r="S60" i="46"/>
  <c r="T60" i="46"/>
  <c r="V60" i="46"/>
  <c r="X60" i="46"/>
  <c r="Z60" i="46"/>
  <c r="AA60" i="46"/>
  <c r="AB60" i="46"/>
  <c r="AC60" i="46"/>
  <c r="AG60" i="46"/>
  <c r="AJ60" i="46"/>
  <c r="AH60" i="46"/>
  <c r="AK60" i="46"/>
  <c r="AL60" i="46"/>
  <c r="J61" i="46"/>
  <c r="R61" i="46"/>
  <c r="S61" i="46"/>
  <c r="T61" i="46"/>
  <c r="V61" i="46"/>
  <c r="X61" i="46"/>
  <c r="Z61" i="46"/>
  <c r="AA61" i="46"/>
  <c r="AB61" i="46"/>
  <c r="AC61" i="46"/>
  <c r="AG61" i="46"/>
  <c r="AJ61" i="46"/>
  <c r="AH61" i="46"/>
  <c r="AK61" i="46"/>
  <c r="AL61" i="46"/>
  <c r="J62" i="46"/>
  <c r="R62" i="46"/>
  <c r="S62" i="46"/>
  <c r="T62" i="46"/>
  <c r="V62" i="46"/>
  <c r="X62" i="46"/>
  <c r="Z62" i="46"/>
  <c r="AA62" i="46"/>
  <c r="AB62" i="46"/>
  <c r="AC62" i="46"/>
  <c r="AG62" i="46"/>
  <c r="AJ62" i="46"/>
  <c r="AH62" i="46"/>
  <c r="AK62" i="46"/>
  <c r="AL62" i="46"/>
  <c r="J63" i="46"/>
  <c r="R63" i="46"/>
  <c r="S63" i="46"/>
  <c r="T63" i="46"/>
  <c r="V63" i="46"/>
  <c r="X63" i="46"/>
  <c r="Z63" i="46"/>
  <c r="AA63" i="46"/>
  <c r="AB63" i="46"/>
  <c r="AC63" i="46"/>
  <c r="AG63" i="46"/>
  <c r="AJ63" i="46"/>
  <c r="AH63" i="46"/>
  <c r="AK63" i="46"/>
  <c r="AL63" i="46"/>
  <c r="J64" i="46"/>
  <c r="R64" i="46"/>
  <c r="S64" i="46"/>
  <c r="T64" i="46"/>
  <c r="V64" i="46"/>
  <c r="X64" i="46"/>
  <c r="Z64" i="46"/>
  <c r="AA64" i="46"/>
  <c r="AB64" i="46"/>
  <c r="AC64" i="46"/>
  <c r="AG64" i="46"/>
  <c r="AJ64" i="46"/>
  <c r="AH64" i="46"/>
  <c r="AK64" i="46"/>
  <c r="AL64" i="46"/>
  <c r="J65" i="46"/>
  <c r="O65" i="46"/>
  <c r="R65" i="46"/>
  <c r="S65" i="46"/>
  <c r="T65" i="46"/>
  <c r="V65" i="46"/>
  <c r="X65" i="46"/>
  <c r="Z65" i="46"/>
  <c r="AA65" i="46"/>
  <c r="AB65" i="46"/>
  <c r="AC65" i="46"/>
  <c r="AG65" i="46"/>
  <c r="AJ65" i="46"/>
  <c r="AH65" i="46"/>
  <c r="AK65" i="46"/>
  <c r="AL65" i="46"/>
  <c r="J66" i="46"/>
  <c r="O66" i="46"/>
  <c r="R66" i="46"/>
  <c r="S66" i="46"/>
  <c r="T66" i="46"/>
  <c r="V66" i="46"/>
  <c r="X66" i="46"/>
  <c r="Z66" i="46"/>
  <c r="AA66" i="46"/>
  <c r="AB66" i="46"/>
  <c r="AC66" i="46"/>
  <c r="AG66" i="46"/>
  <c r="AJ66" i="46"/>
  <c r="AH66" i="46"/>
  <c r="AK66" i="46"/>
  <c r="AL66" i="46"/>
  <c r="J67" i="46"/>
  <c r="O67" i="46"/>
  <c r="R67" i="46"/>
  <c r="S67" i="46"/>
  <c r="T67" i="46"/>
  <c r="V67" i="46"/>
  <c r="X67" i="46"/>
  <c r="Z67" i="46"/>
  <c r="AA67" i="46"/>
  <c r="AB67" i="46"/>
  <c r="AC67" i="46"/>
  <c r="AG67" i="46"/>
  <c r="AJ67" i="46"/>
  <c r="AH67" i="46"/>
  <c r="AK67" i="46"/>
  <c r="AL67" i="46"/>
  <c r="J68" i="46"/>
  <c r="O68" i="46"/>
  <c r="R68" i="46"/>
  <c r="S68" i="46"/>
  <c r="T68" i="46"/>
  <c r="V68" i="46"/>
  <c r="X68" i="46"/>
  <c r="Z68" i="46"/>
  <c r="AA68" i="46"/>
  <c r="AB68" i="46"/>
  <c r="AC68" i="46"/>
  <c r="AG68" i="46"/>
  <c r="AJ68" i="46"/>
  <c r="AH68" i="46"/>
  <c r="AK68" i="46"/>
  <c r="AL68" i="46"/>
  <c r="J69" i="46"/>
  <c r="O69" i="46"/>
  <c r="R69" i="46"/>
  <c r="S69" i="46"/>
  <c r="T69" i="46"/>
  <c r="V69" i="46"/>
  <c r="X69" i="46"/>
  <c r="Z69" i="46"/>
  <c r="AA69" i="46"/>
  <c r="AB69" i="46"/>
  <c r="AC69" i="46"/>
  <c r="AG69" i="46"/>
  <c r="AJ69" i="46"/>
  <c r="AH69" i="46"/>
  <c r="AK69" i="46"/>
  <c r="AL69" i="46"/>
  <c r="G70" i="46"/>
  <c r="J70" i="46"/>
  <c r="O70" i="46"/>
  <c r="R70" i="46"/>
  <c r="S70" i="46"/>
  <c r="T70" i="46"/>
  <c r="V70" i="46"/>
  <c r="X70" i="46"/>
  <c r="Z70" i="46"/>
  <c r="AA70" i="46"/>
  <c r="AB70" i="46"/>
  <c r="AC70" i="46"/>
  <c r="AG70" i="46"/>
  <c r="AJ70" i="46"/>
  <c r="AH70" i="46"/>
  <c r="AK70" i="46"/>
  <c r="AL70" i="46"/>
  <c r="G71" i="46"/>
  <c r="J71" i="46"/>
  <c r="O71" i="46"/>
  <c r="R71" i="46"/>
  <c r="S71" i="46"/>
  <c r="T71" i="46"/>
  <c r="V71" i="46"/>
  <c r="X71" i="46"/>
  <c r="Z71" i="46"/>
  <c r="AA71" i="46"/>
  <c r="AB71" i="46"/>
  <c r="AC71" i="46"/>
  <c r="AG71" i="46"/>
  <c r="AJ71" i="46"/>
  <c r="AH71" i="46"/>
  <c r="AK71" i="46"/>
  <c r="AL71" i="46"/>
  <c r="O72" i="46"/>
  <c r="T72" i="46"/>
  <c r="X72" i="46"/>
  <c r="C72" i="46"/>
  <c r="G72" i="46"/>
  <c r="J72" i="46"/>
  <c r="R72" i="46"/>
  <c r="S72" i="46"/>
  <c r="V72" i="46"/>
  <c r="Z72" i="46"/>
  <c r="AA72" i="46"/>
  <c r="AB72" i="46"/>
  <c r="AC72" i="46"/>
  <c r="AG72" i="46"/>
  <c r="AJ72" i="46"/>
  <c r="AH72" i="46"/>
  <c r="AK72" i="46"/>
  <c r="AL72" i="46"/>
  <c r="G73" i="46"/>
  <c r="J73" i="46"/>
  <c r="O73" i="46"/>
  <c r="R73" i="46"/>
  <c r="S73" i="46"/>
  <c r="T73" i="46"/>
  <c r="V73" i="46"/>
  <c r="X73" i="46"/>
  <c r="Z73" i="46"/>
  <c r="AA73" i="46"/>
  <c r="AB73" i="46"/>
  <c r="AC73" i="46"/>
  <c r="AG73" i="46"/>
  <c r="AJ73" i="46"/>
  <c r="AH73" i="46"/>
  <c r="AK73" i="46"/>
  <c r="AL73" i="46"/>
  <c r="AM73" i="46"/>
  <c r="G74" i="46"/>
  <c r="J74" i="46"/>
  <c r="O74" i="46"/>
  <c r="R74" i="46"/>
  <c r="S74" i="46"/>
  <c r="T74" i="46"/>
  <c r="V74" i="46"/>
  <c r="X74" i="46"/>
  <c r="Z74" i="46"/>
  <c r="AA74" i="46"/>
  <c r="AB74" i="46"/>
  <c r="AC74" i="46"/>
  <c r="AF74" i="46"/>
  <c r="AG74" i="46"/>
  <c r="AJ74" i="46"/>
  <c r="AH74" i="46"/>
  <c r="AK74" i="46"/>
  <c r="AL74" i="46"/>
  <c r="AM74" i="46"/>
  <c r="G75" i="46"/>
  <c r="J75" i="46"/>
  <c r="O75" i="46"/>
  <c r="R75" i="46"/>
  <c r="S75" i="46"/>
  <c r="T75" i="46"/>
  <c r="V75" i="46"/>
  <c r="X75" i="46"/>
  <c r="Z75" i="46"/>
  <c r="AA75" i="46"/>
  <c r="AB75" i="46"/>
  <c r="AC75" i="46"/>
  <c r="AF75" i="46"/>
  <c r="AG75" i="46"/>
  <c r="AJ75" i="46"/>
  <c r="AH75" i="46"/>
  <c r="AK75" i="46"/>
  <c r="AL75" i="46"/>
  <c r="AM75" i="46"/>
  <c r="G76" i="46"/>
  <c r="J76" i="46"/>
  <c r="O76" i="46"/>
  <c r="R76" i="46"/>
  <c r="S76" i="46"/>
  <c r="T76" i="46"/>
  <c r="V76" i="46"/>
  <c r="X76" i="46"/>
  <c r="Z76" i="46"/>
  <c r="AA76" i="46"/>
  <c r="AB76" i="46"/>
  <c r="AC76" i="46"/>
  <c r="AF76" i="46"/>
  <c r="AG76" i="46"/>
  <c r="AJ76" i="46"/>
  <c r="AH76" i="46"/>
  <c r="AK76" i="46"/>
  <c r="AL76" i="46"/>
  <c r="AM76" i="46"/>
  <c r="G77" i="46"/>
  <c r="J77" i="46"/>
  <c r="O77" i="46"/>
  <c r="R77" i="46"/>
  <c r="S77" i="46"/>
  <c r="T77" i="46"/>
  <c r="V77" i="46"/>
  <c r="X77" i="46"/>
  <c r="Z77" i="46"/>
  <c r="AA77" i="46"/>
  <c r="AB77" i="46"/>
  <c r="AC77" i="46"/>
  <c r="AF77" i="46"/>
  <c r="AG77" i="46"/>
  <c r="AJ77" i="46"/>
  <c r="AH77" i="46"/>
  <c r="AK77" i="46"/>
  <c r="AL77" i="46"/>
  <c r="AM77" i="46"/>
  <c r="G78" i="46"/>
  <c r="J78" i="46"/>
  <c r="O78" i="46"/>
  <c r="R78" i="46"/>
  <c r="S78" i="46"/>
  <c r="T78" i="46"/>
  <c r="V78" i="46"/>
  <c r="X78" i="46"/>
  <c r="Z78" i="46"/>
  <c r="AA78" i="46"/>
  <c r="AB78" i="46"/>
  <c r="AC78" i="46"/>
  <c r="AF78" i="46"/>
  <c r="AG78" i="46"/>
  <c r="AJ78" i="46"/>
  <c r="AH78" i="46"/>
  <c r="AK78" i="46"/>
  <c r="AL78" i="46"/>
  <c r="AM78" i="46"/>
  <c r="G79" i="46"/>
  <c r="J79" i="46"/>
  <c r="O79" i="46"/>
  <c r="R79" i="46"/>
  <c r="S79" i="46"/>
  <c r="T79" i="46"/>
  <c r="V79" i="46"/>
  <c r="X79" i="46"/>
  <c r="Z79" i="46"/>
  <c r="AA79" i="46"/>
  <c r="AB79" i="46"/>
  <c r="AC79" i="46"/>
  <c r="AF79" i="46"/>
  <c r="AG79" i="46"/>
  <c r="AJ79" i="46"/>
  <c r="AH79" i="46"/>
  <c r="AK79" i="46"/>
  <c r="AL79" i="46"/>
  <c r="AM79" i="46"/>
  <c r="G80" i="46"/>
  <c r="J80" i="46"/>
  <c r="O80" i="46"/>
  <c r="R80" i="46"/>
  <c r="S80" i="46"/>
  <c r="T80" i="46"/>
  <c r="V80" i="46"/>
  <c r="X80" i="46"/>
  <c r="Z80" i="46"/>
  <c r="AA80" i="46"/>
  <c r="AB80" i="46"/>
  <c r="AC80" i="46"/>
  <c r="AF80" i="46"/>
  <c r="AG80" i="46"/>
  <c r="AJ80" i="46"/>
  <c r="AH80" i="46"/>
  <c r="AK80" i="46"/>
  <c r="AL80" i="46"/>
  <c r="AM80" i="46"/>
  <c r="G81" i="46"/>
  <c r="J81" i="46"/>
  <c r="O81" i="46"/>
  <c r="R81" i="46"/>
  <c r="S81" i="46"/>
  <c r="T81" i="46"/>
  <c r="V81" i="46"/>
  <c r="X81" i="46"/>
  <c r="Z81" i="46"/>
  <c r="AA81" i="46"/>
  <c r="AB81" i="46"/>
  <c r="AC81" i="46"/>
  <c r="AF81" i="46"/>
  <c r="AG81" i="46"/>
  <c r="AJ81" i="46"/>
  <c r="AH81" i="46"/>
  <c r="AK81" i="46"/>
  <c r="AL81" i="46"/>
  <c r="AM81" i="46"/>
  <c r="G82" i="46"/>
  <c r="J82" i="46"/>
  <c r="O82" i="46"/>
  <c r="R82" i="46"/>
  <c r="S82" i="46"/>
  <c r="T82" i="46"/>
  <c r="V82" i="46"/>
  <c r="X82" i="46"/>
  <c r="Z82" i="46"/>
  <c r="AA82" i="46"/>
  <c r="AB82" i="46"/>
  <c r="AC82" i="46"/>
  <c r="AF82" i="46"/>
  <c r="AG82" i="46"/>
  <c r="AJ82" i="46"/>
  <c r="AH82" i="46"/>
  <c r="AK82" i="46"/>
  <c r="AL82" i="46"/>
  <c r="AM82" i="46"/>
  <c r="G83" i="46"/>
  <c r="J83" i="46"/>
  <c r="O83" i="46"/>
  <c r="R83" i="46"/>
  <c r="S83" i="46"/>
  <c r="T83" i="46"/>
  <c r="V83" i="46"/>
  <c r="X83" i="46"/>
  <c r="Z83" i="46"/>
  <c r="AA83" i="46"/>
  <c r="AB83" i="46"/>
  <c r="AC83" i="46"/>
  <c r="AF83" i="46"/>
  <c r="AG83" i="46"/>
  <c r="AJ83" i="46"/>
  <c r="AH83" i="46"/>
  <c r="AK83" i="46"/>
  <c r="AL83" i="46"/>
  <c r="AM83" i="46"/>
  <c r="G84" i="46"/>
  <c r="J84" i="46"/>
  <c r="O84" i="46"/>
  <c r="R84" i="46"/>
  <c r="S84" i="46"/>
  <c r="T84" i="46"/>
  <c r="V84" i="46"/>
  <c r="X84" i="46"/>
  <c r="Z84" i="46"/>
  <c r="AA84" i="46"/>
  <c r="AB84" i="46"/>
  <c r="AC84" i="46"/>
  <c r="AF84" i="46"/>
  <c r="AG84" i="46"/>
  <c r="AJ84" i="46"/>
  <c r="AH84" i="46"/>
  <c r="AK84" i="46"/>
  <c r="AL84" i="46"/>
  <c r="AM84" i="46"/>
  <c r="G85" i="46"/>
  <c r="J85" i="46"/>
  <c r="O85" i="46"/>
  <c r="R85" i="46"/>
  <c r="S85" i="46"/>
  <c r="T85" i="46"/>
  <c r="V85" i="46"/>
  <c r="X85" i="46"/>
  <c r="Z85" i="46"/>
  <c r="AA85" i="46"/>
  <c r="AB85" i="46"/>
  <c r="AC85" i="46"/>
  <c r="AF85" i="46"/>
  <c r="AG85" i="46"/>
  <c r="AJ85" i="46"/>
  <c r="AH85" i="46"/>
  <c r="AK85" i="46"/>
  <c r="AL85" i="46"/>
  <c r="AM85" i="46"/>
  <c r="G86" i="46"/>
  <c r="J86" i="46"/>
  <c r="O86" i="46"/>
  <c r="R86" i="46"/>
  <c r="S86" i="46"/>
  <c r="T86" i="46"/>
  <c r="V86" i="46"/>
  <c r="X86" i="46"/>
  <c r="Z86" i="46"/>
  <c r="AA86" i="46"/>
  <c r="AB86" i="46"/>
  <c r="AC86" i="46"/>
  <c r="AF86" i="46"/>
  <c r="AG86" i="46"/>
  <c r="AJ86" i="46"/>
  <c r="AH86" i="46"/>
  <c r="AK86" i="46"/>
  <c r="AL86" i="46"/>
  <c r="AM86" i="46"/>
  <c r="G87" i="46"/>
  <c r="J87" i="46"/>
  <c r="O87" i="46"/>
  <c r="R87" i="46"/>
  <c r="S87" i="46"/>
  <c r="T87" i="46"/>
  <c r="V87" i="46"/>
  <c r="X87" i="46"/>
  <c r="Z87" i="46"/>
  <c r="AA87" i="46"/>
  <c r="AB87" i="46"/>
  <c r="AC87" i="46"/>
  <c r="AF87" i="46"/>
  <c r="AG87" i="46"/>
  <c r="AJ87" i="46"/>
  <c r="AH87" i="46"/>
  <c r="AK87" i="46"/>
  <c r="AL87" i="46"/>
  <c r="AM87" i="46"/>
  <c r="G88" i="46"/>
  <c r="J88" i="46"/>
  <c r="O88" i="46"/>
  <c r="R88" i="46"/>
  <c r="S88" i="46"/>
  <c r="T88" i="46"/>
  <c r="V88" i="46"/>
  <c r="X88" i="46"/>
  <c r="Z88" i="46"/>
  <c r="AA88" i="46"/>
  <c r="AB88" i="46"/>
  <c r="AC88" i="46"/>
  <c r="AF88" i="46"/>
  <c r="AG88" i="46"/>
  <c r="AJ88" i="46"/>
  <c r="AH88" i="46"/>
  <c r="AK88" i="46"/>
  <c r="AL88" i="46"/>
  <c r="AM88" i="46"/>
  <c r="G89" i="46"/>
  <c r="J89" i="46"/>
  <c r="O89" i="46"/>
  <c r="R89" i="46"/>
  <c r="S89" i="46"/>
  <c r="T89" i="46"/>
  <c r="V89" i="46"/>
  <c r="X89" i="46"/>
  <c r="Z89" i="46"/>
  <c r="AA89" i="46"/>
  <c r="AB89" i="46"/>
  <c r="AC89" i="46"/>
  <c r="AF89" i="46"/>
  <c r="AG89" i="46"/>
  <c r="AJ89" i="46"/>
  <c r="AH89" i="46"/>
  <c r="AK89" i="46"/>
  <c r="AL89" i="46"/>
  <c r="AM89" i="46"/>
  <c r="G90" i="46"/>
  <c r="J90" i="46"/>
  <c r="O90" i="46"/>
  <c r="R90" i="46"/>
  <c r="S90" i="46"/>
  <c r="T90" i="46"/>
  <c r="V90" i="46"/>
  <c r="X90" i="46"/>
  <c r="Z90" i="46"/>
  <c r="AA90" i="46"/>
  <c r="AB90" i="46"/>
  <c r="AC90" i="46"/>
  <c r="AF90" i="46"/>
  <c r="AG90" i="46"/>
  <c r="AJ90" i="46"/>
  <c r="AH90" i="46"/>
  <c r="AK90" i="46"/>
  <c r="AL90" i="46"/>
  <c r="AM90" i="46"/>
  <c r="G91" i="46"/>
  <c r="J91" i="46"/>
  <c r="O91" i="46"/>
  <c r="R91" i="46"/>
  <c r="S91" i="46"/>
  <c r="T91" i="46"/>
  <c r="V91" i="46"/>
  <c r="X91" i="46"/>
  <c r="Z91" i="46"/>
  <c r="AA91" i="46"/>
  <c r="AB91" i="46"/>
  <c r="AC91" i="46"/>
  <c r="AF91" i="46"/>
  <c r="AG91" i="46"/>
  <c r="AJ91" i="46"/>
  <c r="AH91" i="46"/>
  <c r="AK91" i="46"/>
  <c r="AL91" i="46"/>
  <c r="AM91" i="46"/>
  <c r="G92" i="46"/>
  <c r="J92" i="46"/>
  <c r="O92" i="46"/>
  <c r="R92" i="46"/>
  <c r="S92" i="46"/>
  <c r="T92" i="46"/>
  <c r="V92" i="46"/>
  <c r="X92" i="46"/>
  <c r="Z92" i="46"/>
  <c r="AA92" i="46"/>
  <c r="AB92" i="46"/>
  <c r="AC92" i="46"/>
  <c r="AF92" i="46"/>
  <c r="AG92" i="46"/>
  <c r="AJ92" i="46"/>
  <c r="AH92" i="46"/>
  <c r="AK92" i="46"/>
  <c r="AL92" i="46"/>
  <c r="AM92" i="46"/>
  <c r="O93" i="46"/>
  <c r="T93" i="46"/>
  <c r="X93" i="46"/>
  <c r="C93" i="46"/>
  <c r="G93" i="46"/>
  <c r="J93" i="46"/>
  <c r="R93" i="46"/>
  <c r="S93" i="46"/>
  <c r="V93" i="46"/>
  <c r="Z93" i="46"/>
  <c r="AA93" i="46"/>
  <c r="AB93" i="46"/>
  <c r="AC93" i="46"/>
  <c r="AF93" i="46"/>
  <c r="AG93" i="46"/>
  <c r="AJ93" i="46"/>
  <c r="AH93" i="46"/>
  <c r="AK93" i="46"/>
  <c r="AL93" i="46"/>
  <c r="AM93" i="46"/>
  <c r="O94" i="46"/>
  <c r="T94" i="46"/>
  <c r="X94" i="46"/>
  <c r="C94" i="46"/>
  <c r="G94" i="46"/>
  <c r="J94" i="46"/>
  <c r="R94" i="46"/>
  <c r="S94" i="46"/>
  <c r="V94" i="46"/>
  <c r="Z94" i="46"/>
  <c r="AA94" i="46"/>
  <c r="AB94" i="46"/>
  <c r="AC94" i="46"/>
  <c r="AF94" i="46"/>
  <c r="AG94" i="46"/>
  <c r="AJ94" i="46"/>
  <c r="AH94" i="46"/>
  <c r="AK94" i="46"/>
  <c r="AL94" i="46"/>
  <c r="AM94" i="46"/>
  <c r="G95" i="46"/>
  <c r="J95" i="46"/>
  <c r="O95" i="46"/>
  <c r="R95" i="46"/>
  <c r="S95" i="46"/>
  <c r="T95" i="46"/>
  <c r="V95" i="46"/>
  <c r="X95" i="46"/>
  <c r="Z95" i="46"/>
  <c r="AA95" i="46"/>
  <c r="AB95" i="46"/>
  <c r="AC95" i="46"/>
  <c r="AF95" i="46"/>
  <c r="AG95" i="46"/>
  <c r="AJ95" i="46"/>
  <c r="AH95" i="46"/>
  <c r="AK95" i="46"/>
  <c r="AL95" i="46"/>
  <c r="AM95" i="46"/>
  <c r="G96" i="46"/>
  <c r="J96" i="46"/>
  <c r="O96" i="46"/>
  <c r="R96" i="46"/>
  <c r="S96" i="46"/>
  <c r="T96" i="46"/>
  <c r="V96" i="46"/>
  <c r="X96" i="46"/>
  <c r="Z96" i="46"/>
  <c r="AA96" i="46"/>
  <c r="AB96" i="46"/>
  <c r="AC96" i="46"/>
  <c r="AF96" i="46"/>
  <c r="AG96" i="46"/>
  <c r="AJ96" i="46"/>
  <c r="AH96" i="46"/>
  <c r="AK96" i="46"/>
  <c r="AL96" i="46"/>
  <c r="AM96" i="46"/>
  <c r="G97" i="46"/>
  <c r="J97" i="46"/>
  <c r="O97" i="46"/>
  <c r="R97" i="46"/>
  <c r="S97" i="46"/>
  <c r="T97" i="46"/>
  <c r="V97" i="46"/>
  <c r="X97" i="46"/>
  <c r="Z97" i="46"/>
  <c r="AA97" i="46"/>
  <c r="AB97" i="46"/>
  <c r="AC97" i="46"/>
  <c r="AF97" i="46"/>
  <c r="AG97" i="46"/>
  <c r="AJ97" i="46"/>
  <c r="AH97" i="46"/>
  <c r="AK97" i="46"/>
  <c r="AL97" i="46"/>
  <c r="AM97" i="46"/>
  <c r="G98" i="46"/>
  <c r="J98" i="46"/>
  <c r="O98" i="46"/>
  <c r="R98" i="46"/>
  <c r="S98" i="46"/>
  <c r="T98" i="46"/>
  <c r="V98" i="46"/>
  <c r="X98" i="46"/>
  <c r="Z98" i="46"/>
  <c r="AA98" i="46"/>
  <c r="AB98" i="46"/>
  <c r="AC98" i="46"/>
  <c r="AF98" i="46"/>
  <c r="AG98" i="46"/>
  <c r="AJ98" i="46"/>
  <c r="AH98" i="46"/>
  <c r="AK98" i="46"/>
  <c r="AL98" i="46"/>
  <c r="AM98" i="46"/>
  <c r="G99" i="46"/>
  <c r="J99" i="46"/>
  <c r="O99" i="46"/>
  <c r="R99" i="46"/>
  <c r="S99" i="46"/>
  <c r="T99" i="46"/>
  <c r="V99" i="46"/>
  <c r="X99" i="46"/>
  <c r="Z99" i="46"/>
  <c r="AA99" i="46"/>
  <c r="AB99" i="46"/>
  <c r="AC99" i="46"/>
  <c r="AF99" i="46"/>
  <c r="AG99" i="46"/>
  <c r="AJ99" i="46"/>
  <c r="AH99" i="46"/>
  <c r="AK99" i="46"/>
  <c r="AL99" i="46"/>
  <c r="AM99" i="46"/>
  <c r="G100" i="46"/>
  <c r="J100" i="46"/>
  <c r="O100" i="46"/>
  <c r="R100" i="46"/>
  <c r="S100" i="46"/>
  <c r="T100" i="46"/>
  <c r="U100" i="46"/>
  <c r="V100" i="46"/>
  <c r="X100" i="46"/>
  <c r="Z100" i="46"/>
  <c r="AA100" i="46"/>
  <c r="AB100" i="46"/>
  <c r="AC100" i="46"/>
  <c r="AF100" i="46"/>
  <c r="AG100" i="46"/>
  <c r="AJ100" i="46"/>
  <c r="AH100" i="46"/>
  <c r="AK100" i="46"/>
  <c r="AL100" i="46"/>
  <c r="AM100" i="46"/>
  <c r="G101" i="46"/>
  <c r="J101" i="46"/>
  <c r="O101" i="46"/>
  <c r="R101" i="46"/>
  <c r="S101" i="46"/>
  <c r="T101" i="46"/>
  <c r="V101" i="46"/>
  <c r="X101" i="46"/>
  <c r="Z101" i="46"/>
  <c r="AA101" i="46"/>
  <c r="AB101" i="46"/>
  <c r="AC101" i="46"/>
  <c r="AF101" i="46"/>
  <c r="AG101" i="46"/>
  <c r="AJ101" i="46"/>
  <c r="AH101" i="46"/>
  <c r="AK101" i="46"/>
  <c r="AL101" i="46"/>
  <c r="AM101" i="46"/>
  <c r="G102" i="46"/>
  <c r="J102" i="46"/>
  <c r="O102" i="46"/>
  <c r="R102" i="46"/>
  <c r="S102" i="46"/>
  <c r="T102" i="46"/>
  <c r="V102" i="46"/>
  <c r="X102" i="46"/>
  <c r="Z102" i="46"/>
  <c r="AA102" i="46"/>
  <c r="AB102" i="46"/>
  <c r="AC102" i="46"/>
  <c r="AF102" i="46"/>
  <c r="AG102" i="46"/>
  <c r="AJ102" i="46"/>
  <c r="AH102" i="46"/>
  <c r="AK102" i="46"/>
  <c r="AL102" i="46"/>
  <c r="AM102" i="46"/>
  <c r="G103" i="46"/>
  <c r="J103" i="46"/>
  <c r="O103" i="46"/>
  <c r="R103" i="46"/>
  <c r="S103" i="46"/>
  <c r="T103" i="46"/>
  <c r="V103" i="46"/>
  <c r="X103" i="46"/>
  <c r="Z103" i="46"/>
  <c r="AA103" i="46"/>
  <c r="AB103" i="46"/>
  <c r="AC103" i="46"/>
  <c r="AF103" i="46"/>
  <c r="AG103" i="46"/>
  <c r="AJ103" i="46"/>
  <c r="AH103" i="46"/>
  <c r="AK103" i="46"/>
  <c r="AL103" i="46"/>
  <c r="AM103" i="46"/>
  <c r="G104" i="46"/>
  <c r="J104" i="46"/>
  <c r="O104" i="46"/>
  <c r="R104" i="46"/>
  <c r="S104" i="46"/>
  <c r="T104" i="46"/>
  <c r="V104" i="46"/>
  <c r="X104" i="46"/>
  <c r="Z104" i="46"/>
  <c r="AA104" i="46"/>
  <c r="AB104" i="46"/>
  <c r="AC104" i="46"/>
  <c r="AF104" i="46"/>
  <c r="AG104" i="46"/>
  <c r="AJ104" i="46"/>
  <c r="AH104" i="46"/>
  <c r="AK104" i="46"/>
  <c r="AL104" i="46"/>
  <c r="AM104" i="46"/>
  <c r="G105" i="46"/>
  <c r="J105" i="46"/>
  <c r="O105" i="46"/>
  <c r="R105" i="46"/>
  <c r="S105" i="46"/>
  <c r="T105" i="46"/>
  <c r="V105" i="46"/>
  <c r="X105" i="46"/>
  <c r="Z105" i="46"/>
  <c r="AA105" i="46"/>
  <c r="AB105" i="46"/>
  <c r="AC105" i="46"/>
  <c r="AF105" i="46"/>
  <c r="AG105" i="46"/>
  <c r="AJ105" i="46"/>
  <c r="AH105" i="46"/>
  <c r="AK105" i="46"/>
  <c r="AL105" i="46"/>
  <c r="AM105" i="46"/>
  <c r="G106" i="46"/>
  <c r="J106" i="46"/>
  <c r="O106" i="46"/>
  <c r="R106" i="46"/>
  <c r="S106" i="46"/>
  <c r="T106" i="46"/>
  <c r="V106" i="46"/>
  <c r="X106" i="46"/>
  <c r="Z106" i="46"/>
  <c r="AA106" i="46"/>
  <c r="AB106" i="46"/>
  <c r="AC106" i="46"/>
  <c r="AF106" i="46"/>
  <c r="AG106" i="46"/>
  <c r="AJ106" i="46"/>
  <c r="AH106" i="46"/>
  <c r="AK106" i="46"/>
  <c r="AL106" i="46"/>
  <c r="AM106" i="46"/>
  <c r="G107" i="46"/>
  <c r="J107" i="46"/>
  <c r="O107" i="46"/>
  <c r="R107" i="46"/>
  <c r="S107" i="46"/>
  <c r="T107" i="46"/>
  <c r="V107" i="46"/>
  <c r="X107" i="46"/>
  <c r="Z107" i="46"/>
  <c r="AA107" i="46"/>
  <c r="AB107" i="46"/>
  <c r="AC107" i="46"/>
  <c r="AF107" i="46"/>
  <c r="AG107" i="46"/>
  <c r="AJ107" i="46"/>
  <c r="AH107" i="46"/>
  <c r="AK107" i="46"/>
  <c r="AL107" i="46"/>
  <c r="AM107" i="46"/>
  <c r="G108" i="46"/>
  <c r="J108" i="46"/>
  <c r="O108" i="46"/>
  <c r="R108" i="46"/>
  <c r="S108" i="46"/>
  <c r="T108" i="46"/>
  <c r="V108" i="46"/>
  <c r="X108" i="46"/>
  <c r="Z108" i="46"/>
  <c r="AA108" i="46"/>
  <c r="AB108" i="46"/>
  <c r="AC108" i="46"/>
  <c r="AF108" i="46"/>
  <c r="AG108" i="46"/>
  <c r="AJ108" i="46"/>
  <c r="AH108" i="46"/>
  <c r="AK108" i="46"/>
  <c r="AL108" i="46"/>
  <c r="AM108" i="46"/>
  <c r="G109" i="46"/>
  <c r="J109" i="46"/>
  <c r="O109" i="46"/>
  <c r="R109" i="46"/>
  <c r="S109" i="46"/>
  <c r="T109" i="46"/>
  <c r="V109" i="46"/>
  <c r="X109" i="46"/>
  <c r="Z109" i="46"/>
  <c r="AA109" i="46"/>
  <c r="AB109" i="46"/>
  <c r="AC109" i="46"/>
  <c r="AF109" i="46"/>
  <c r="AG109" i="46"/>
  <c r="AJ109" i="46"/>
  <c r="AH109" i="46"/>
  <c r="AK109" i="46"/>
  <c r="AL109" i="46"/>
  <c r="AM109" i="46"/>
  <c r="G110" i="46"/>
  <c r="J110" i="46"/>
  <c r="O110" i="46"/>
  <c r="R110" i="46"/>
  <c r="S110" i="46"/>
  <c r="T110" i="46"/>
  <c r="V110" i="46"/>
  <c r="X110" i="46"/>
  <c r="Z110" i="46"/>
  <c r="AA110" i="46"/>
  <c r="AB110" i="46"/>
  <c r="AC110" i="46"/>
  <c r="AF110" i="46"/>
  <c r="AG110" i="46"/>
  <c r="AJ110" i="46"/>
  <c r="AH110" i="46"/>
  <c r="AK110" i="46"/>
  <c r="AL110" i="46"/>
  <c r="AM110" i="46"/>
  <c r="G111" i="46"/>
  <c r="J111" i="46"/>
  <c r="O111" i="46"/>
  <c r="R111" i="46"/>
  <c r="S111" i="46"/>
  <c r="T111" i="46"/>
  <c r="V111" i="46"/>
  <c r="X111" i="46"/>
  <c r="Z111" i="46"/>
  <c r="AA111" i="46"/>
  <c r="AB111" i="46"/>
  <c r="AC111" i="46"/>
  <c r="AF111" i="46"/>
  <c r="AG111" i="46"/>
  <c r="AJ111" i="46"/>
  <c r="AH111" i="46"/>
  <c r="AK111" i="46"/>
  <c r="AL111" i="46"/>
  <c r="AM111" i="46"/>
  <c r="G112" i="46"/>
  <c r="J112" i="46"/>
  <c r="O112" i="46"/>
  <c r="R112" i="46"/>
  <c r="S112" i="46"/>
  <c r="T112" i="46"/>
  <c r="V112" i="46"/>
  <c r="X112" i="46"/>
  <c r="Z112" i="46"/>
  <c r="AA112" i="46"/>
  <c r="AB112" i="46"/>
  <c r="AC112" i="46"/>
  <c r="AF112" i="46"/>
  <c r="AG112" i="46"/>
  <c r="AJ112" i="46"/>
  <c r="AH112" i="46"/>
  <c r="AK112" i="46"/>
  <c r="AL112" i="46"/>
  <c r="AM112" i="46"/>
  <c r="AU112" i="46"/>
  <c r="G113" i="46"/>
  <c r="J113" i="46"/>
  <c r="O113" i="46"/>
  <c r="R113" i="46"/>
  <c r="S113" i="46"/>
  <c r="T113" i="46"/>
  <c r="V113" i="46"/>
  <c r="X113" i="46"/>
  <c r="Z113" i="46"/>
  <c r="AA113" i="46"/>
  <c r="AB113" i="46"/>
  <c r="AC113" i="46"/>
  <c r="AF113" i="46"/>
  <c r="AG113" i="46"/>
  <c r="AJ113" i="46"/>
  <c r="AH113" i="46"/>
  <c r="AK113" i="46"/>
  <c r="AL113" i="46"/>
  <c r="AM113" i="46"/>
  <c r="G114" i="46"/>
  <c r="J114" i="46"/>
  <c r="O114" i="46"/>
  <c r="R114" i="46"/>
  <c r="S114" i="46"/>
  <c r="T114" i="46"/>
  <c r="V114" i="46"/>
  <c r="X114" i="46"/>
  <c r="Z114" i="46"/>
  <c r="AA114" i="46"/>
  <c r="AB114" i="46"/>
  <c r="AC114" i="46"/>
  <c r="AF114" i="46"/>
  <c r="AG114" i="46"/>
  <c r="AJ114" i="46"/>
  <c r="AH114" i="46"/>
  <c r="AK114" i="46"/>
  <c r="AL114" i="46"/>
  <c r="AM114" i="46"/>
  <c r="G115" i="46"/>
  <c r="J115" i="46"/>
  <c r="O115" i="46"/>
  <c r="R115" i="46"/>
  <c r="S115" i="46"/>
  <c r="T115" i="46"/>
  <c r="V115" i="46"/>
  <c r="X115" i="46"/>
  <c r="Z115" i="46"/>
  <c r="AA115" i="46"/>
  <c r="AB115" i="46"/>
  <c r="AC115" i="46"/>
  <c r="AF115" i="46"/>
  <c r="AG115" i="46"/>
  <c r="AJ115" i="46"/>
  <c r="AH115" i="46"/>
  <c r="AK115" i="46"/>
  <c r="AL115" i="46"/>
  <c r="AM115" i="46"/>
  <c r="G116" i="46"/>
  <c r="J116" i="46"/>
  <c r="O116" i="46"/>
  <c r="R116" i="46"/>
  <c r="S116" i="46"/>
  <c r="T116" i="46"/>
  <c r="V116" i="46"/>
  <c r="X116" i="46"/>
  <c r="Z116" i="46"/>
  <c r="AA116" i="46"/>
  <c r="AB116" i="46"/>
  <c r="AC116" i="46"/>
  <c r="AF116" i="46"/>
  <c r="AG116" i="46"/>
  <c r="AJ116" i="46"/>
  <c r="AH116" i="46"/>
  <c r="AK116" i="46"/>
  <c r="AL116" i="46"/>
  <c r="AM116" i="46"/>
  <c r="G117" i="46"/>
  <c r="J117" i="46"/>
  <c r="O117" i="46"/>
  <c r="R117" i="46"/>
  <c r="S117" i="46"/>
  <c r="T117" i="46"/>
  <c r="V117" i="46"/>
  <c r="X117" i="46"/>
  <c r="Z117" i="46"/>
  <c r="AA117" i="46"/>
  <c r="AB117" i="46"/>
  <c r="AC117" i="46"/>
  <c r="AF117" i="46"/>
  <c r="AG117" i="46"/>
  <c r="AJ117" i="46"/>
  <c r="AH117" i="46"/>
  <c r="AK117" i="46"/>
  <c r="AL117" i="46"/>
  <c r="AM117" i="46"/>
  <c r="G118" i="46"/>
  <c r="J118" i="46"/>
  <c r="O118" i="46"/>
  <c r="R118" i="46"/>
  <c r="S118" i="46"/>
  <c r="T118" i="46"/>
  <c r="V118" i="46"/>
  <c r="X118" i="46"/>
  <c r="Z118" i="46"/>
  <c r="AA118" i="46"/>
  <c r="AB118" i="46"/>
  <c r="AC118" i="46"/>
  <c r="AF118" i="46"/>
  <c r="AG118" i="46"/>
  <c r="AJ118" i="46"/>
  <c r="AH118" i="46"/>
  <c r="AK118" i="46"/>
  <c r="AL118" i="46"/>
  <c r="AM118" i="46"/>
  <c r="G119" i="46"/>
  <c r="J119" i="46"/>
  <c r="O119" i="46"/>
  <c r="R119" i="46"/>
  <c r="S119" i="46"/>
  <c r="T119" i="46"/>
  <c r="V119" i="46"/>
  <c r="X119" i="46"/>
  <c r="Z119" i="46"/>
  <c r="AA119" i="46"/>
  <c r="AB119" i="46"/>
  <c r="AC119" i="46"/>
  <c r="AF119" i="46"/>
  <c r="AG119" i="46"/>
  <c r="AJ119" i="46"/>
  <c r="AH119" i="46"/>
  <c r="AK119" i="46"/>
  <c r="AL119" i="46"/>
  <c r="AM119" i="46"/>
  <c r="G120" i="46"/>
  <c r="J120" i="46"/>
  <c r="O120" i="46"/>
  <c r="R120" i="46"/>
  <c r="S120" i="46"/>
  <c r="T120" i="46"/>
  <c r="V120" i="46"/>
  <c r="X120" i="46"/>
  <c r="Z120" i="46"/>
  <c r="AA120" i="46"/>
  <c r="AB120" i="46"/>
  <c r="AC120" i="46"/>
  <c r="AF120" i="46"/>
  <c r="AG120" i="46"/>
  <c r="AJ120" i="46"/>
  <c r="AH120" i="46"/>
  <c r="AK120" i="46"/>
  <c r="AL120" i="46"/>
  <c r="AM120" i="46"/>
  <c r="G121" i="46"/>
  <c r="J121" i="46"/>
  <c r="O121" i="46"/>
  <c r="R121" i="46"/>
  <c r="S121" i="46"/>
  <c r="T121" i="46"/>
  <c r="V121" i="46"/>
  <c r="X121" i="46"/>
  <c r="Z121" i="46"/>
  <c r="AA121" i="46"/>
  <c r="AB121" i="46"/>
  <c r="AC121" i="46"/>
  <c r="AF121" i="46"/>
  <c r="AG121" i="46"/>
  <c r="AJ121" i="46"/>
  <c r="AH121" i="46"/>
  <c r="AK121" i="46"/>
  <c r="AL121" i="46"/>
  <c r="AM121" i="46"/>
  <c r="O122" i="46"/>
  <c r="T122" i="46"/>
  <c r="X122" i="46"/>
  <c r="C122" i="46"/>
  <c r="G122" i="46"/>
  <c r="J122" i="46"/>
  <c r="R122" i="46"/>
  <c r="S122" i="46"/>
  <c r="V122" i="46"/>
  <c r="Z122" i="46"/>
  <c r="AA122" i="46"/>
  <c r="AB122" i="46"/>
  <c r="AC122" i="46"/>
  <c r="AF122" i="46"/>
  <c r="AG122" i="46"/>
  <c r="AJ122" i="46"/>
  <c r="AH122" i="46"/>
  <c r="AK122" i="46"/>
  <c r="AL122" i="46"/>
  <c r="AM122" i="46"/>
  <c r="G123" i="46"/>
  <c r="J123" i="46"/>
  <c r="O123" i="46"/>
  <c r="R123" i="46"/>
  <c r="S123" i="46"/>
  <c r="T123" i="46"/>
  <c r="V123" i="46"/>
  <c r="X123" i="46"/>
  <c r="Z123" i="46"/>
  <c r="AA123" i="46"/>
  <c r="AB123" i="46"/>
  <c r="AC123" i="46"/>
  <c r="AF123" i="46"/>
  <c r="AG123" i="46"/>
  <c r="AJ123" i="46"/>
  <c r="AH123" i="46"/>
  <c r="AK123" i="46"/>
  <c r="AL123" i="46"/>
  <c r="AM123" i="46"/>
  <c r="D124" i="46"/>
  <c r="G124" i="46"/>
  <c r="J124" i="46"/>
  <c r="O124" i="46"/>
  <c r="R124" i="46"/>
  <c r="S124" i="46"/>
  <c r="T124" i="46"/>
  <c r="V124" i="46"/>
  <c r="X124" i="46"/>
  <c r="Z124" i="46"/>
  <c r="AA124" i="46"/>
  <c r="AB124" i="46"/>
  <c r="AC124" i="46"/>
  <c r="AF124" i="46"/>
  <c r="AG124" i="46"/>
  <c r="AJ124" i="46"/>
  <c r="AH124" i="46"/>
  <c r="AK124" i="46"/>
  <c r="AL124" i="46"/>
  <c r="AM124" i="46"/>
  <c r="G125" i="46"/>
  <c r="J125" i="46"/>
  <c r="O125" i="46"/>
  <c r="R125" i="46"/>
  <c r="S125" i="46"/>
  <c r="T125" i="46"/>
  <c r="V125" i="46"/>
  <c r="X125" i="46"/>
  <c r="Z125" i="46"/>
  <c r="AA125" i="46"/>
  <c r="AB125" i="46"/>
  <c r="AC125" i="46"/>
  <c r="AF125" i="46"/>
  <c r="AG125" i="46"/>
  <c r="AJ125" i="46"/>
  <c r="AH125" i="46"/>
  <c r="AK125" i="46"/>
  <c r="AL125" i="46"/>
  <c r="AM125" i="46"/>
  <c r="G126" i="46"/>
  <c r="J126" i="46"/>
  <c r="O126" i="46"/>
  <c r="R126" i="46"/>
  <c r="S126" i="46"/>
  <c r="T126" i="46"/>
  <c r="V126" i="46"/>
  <c r="X126" i="46"/>
  <c r="Z126" i="46"/>
  <c r="AA126" i="46"/>
  <c r="AB126" i="46"/>
  <c r="AC126" i="46"/>
  <c r="AF126" i="46"/>
  <c r="AG126" i="46"/>
  <c r="AJ126" i="46"/>
  <c r="AH126" i="46"/>
  <c r="AK126" i="46"/>
  <c r="AL126" i="46"/>
  <c r="AM126" i="46"/>
  <c r="G127" i="46"/>
  <c r="J127" i="46"/>
  <c r="O127" i="46"/>
  <c r="R127" i="46"/>
  <c r="S127" i="46"/>
  <c r="T127" i="46"/>
  <c r="V127" i="46"/>
  <c r="X127" i="46"/>
  <c r="Z127" i="46"/>
  <c r="AA127" i="46"/>
  <c r="AB127" i="46"/>
  <c r="AC127" i="46"/>
  <c r="AF127" i="46"/>
  <c r="AG127" i="46"/>
  <c r="AJ127" i="46"/>
  <c r="AH127" i="46"/>
  <c r="AK127" i="46"/>
  <c r="AL127" i="46"/>
  <c r="AM127" i="46"/>
  <c r="G128" i="46"/>
  <c r="J128" i="46"/>
  <c r="O128" i="46"/>
  <c r="R128" i="46"/>
  <c r="S128" i="46"/>
  <c r="T128" i="46"/>
  <c r="V128" i="46"/>
  <c r="X128" i="46"/>
  <c r="Z128" i="46"/>
  <c r="AA128" i="46"/>
  <c r="AB128" i="46"/>
  <c r="AC128" i="46"/>
  <c r="AF128" i="46"/>
  <c r="AG128" i="46"/>
  <c r="AJ128" i="46"/>
  <c r="AH128" i="46"/>
  <c r="AK128" i="46"/>
  <c r="AL128" i="46"/>
  <c r="AM128" i="46"/>
  <c r="G129" i="46"/>
  <c r="J129" i="46"/>
  <c r="O129" i="46"/>
  <c r="R129" i="46"/>
  <c r="S129" i="46"/>
  <c r="T129" i="46"/>
  <c r="V129" i="46"/>
  <c r="X129" i="46"/>
  <c r="Z129" i="46"/>
  <c r="AA129" i="46"/>
  <c r="AB129" i="46"/>
  <c r="AC129" i="46"/>
  <c r="AF129" i="46"/>
  <c r="AG129" i="46"/>
  <c r="AJ129" i="46"/>
  <c r="AH129" i="46"/>
  <c r="AK129" i="46"/>
  <c r="AL129" i="46"/>
  <c r="AM129" i="46"/>
  <c r="G130" i="46"/>
  <c r="J130" i="46"/>
  <c r="O130" i="46"/>
  <c r="R130" i="46"/>
  <c r="S130" i="46"/>
  <c r="T130" i="46"/>
  <c r="V130" i="46"/>
  <c r="X130" i="46"/>
  <c r="Z130" i="46"/>
  <c r="AA130" i="46"/>
  <c r="AB130" i="46"/>
  <c r="AC130" i="46"/>
  <c r="AF130" i="46"/>
  <c r="AG130" i="46"/>
  <c r="AJ130" i="46"/>
  <c r="AH130" i="46"/>
  <c r="AK130" i="46"/>
  <c r="AL130" i="46"/>
  <c r="AM130" i="46"/>
  <c r="G131" i="46"/>
  <c r="J131" i="46"/>
  <c r="O131" i="46"/>
  <c r="R131" i="46"/>
  <c r="S131" i="46"/>
  <c r="T131" i="46"/>
  <c r="V131" i="46"/>
  <c r="X131" i="46"/>
  <c r="Z131" i="46"/>
  <c r="AA131" i="46"/>
  <c r="AB131" i="46"/>
  <c r="AC131" i="46"/>
  <c r="AF131" i="46"/>
  <c r="AG131" i="46"/>
  <c r="AJ131" i="46"/>
  <c r="AH131" i="46"/>
  <c r="AK131" i="46"/>
  <c r="AL131" i="46"/>
  <c r="AM131" i="46"/>
  <c r="O132" i="46"/>
  <c r="T132" i="46"/>
  <c r="X132" i="46"/>
  <c r="C132" i="46"/>
  <c r="G132" i="46"/>
  <c r="J132" i="46"/>
  <c r="R132" i="46"/>
  <c r="S132" i="46"/>
  <c r="V132" i="46"/>
  <c r="Z132" i="46"/>
  <c r="AA132" i="46"/>
  <c r="AB132" i="46"/>
  <c r="AC132" i="46"/>
  <c r="AF132" i="46"/>
  <c r="AG132" i="46"/>
  <c r="AJ132" i="46"/>
  <c r="AH132" i="46"/>
  <c r="AK132" i="46"/>
  <c r="AL132" i="46"/>
  <c r="AM132" i="46"/>
  <c r="G133" i="46"/>
  <c r="J133" i="46"/>
  <c r="O133" i="46"/>
  <c r="R133" i="46"/>
  <c r="S133" i="46"/>
  <c r="T133" i="46"/>
  <c r="V133" i="46"/>
  <c r="X133" i="46"/>
  <c r="Z133" i="46"/>
  <c r="AA133" i="46"/>
  <c r="AB133" i="46"/>
  <c r="AC133" i="46"/>
  <c r="AF133" i="46"/>
  <c r="AG133" i="46"/>
  <c r="AJ133" i="46"/>
  <c r="AH133" i="46"/>
  <c r="AK133" i="46"/>
  <c r="AL133" i="46"/>
  <c r="AM133" i="46"/>
  <c r="G134" i="46"/>
  <c r="J134" i="46"/>
  <c r="O134" i="46"/>
  <c r="R134" i="46"/>
  <c r="S134" i="46"/>
  <c r="T134" i="46"/>
  <c r="V134" i="46"/>
  <c r="X134" i="46"/>
  <c r="Z134" i="46"/>
  <c r="AA134" i="46"/>
  <c r="AB134" i="46"/>
  <c r="AC134" i="46"/>
  <c r="AF134" i="46"/>
  <c r="AG134" i="46"/>
  <c r="AJ134" i="46"/>
  <c r="AH134" i="46"/>
  <c r="AK134" i="46"/>
  <c r="AL134" i="46"/>
  <c r="AM134" i="46"/>
  <c r="G135" i="46"/>
  <c r="J135" i="46"/>
  <c r="O135" i="46"/>
  <c r="R135" i="46"/>
  <c r="S135" i="46"/>
  <c r="T135" i="46"/>
  <c r="V135" i="46"/>
  <c r="X135" i="46"/>
  <c r="Z135" i="46"/>
  <c r="AA135" i="46"/>
  <c r="AB135" i="46"/>
  <c r="AC135" i="46"/>
  <c r="AF135" i="46"/>
  <c r="AG135" i="46"/>
  <c r="AJ135" i="46"/>
  <c r="AH135" i="46"/>
  <c r="AK135" i="46"/>
  <c r="AL135" i="46"/>
  <c r="AM135" i="46"/>
  <c r="G136" i="46"/>
  <c r="J136" i="46"/>
  <c r="O136" i="46"/>
  <c r="R136" i="46"/>
  <c r="S136" i="46"/>
  <c r="T136" i="46"/>
  <c r="V136" i="46"/>
  <c r="X136" i="46"/>
  <c r="Z136" i="46"/>
  <c r="AA136" i="46"/>
  <c r="AB136" i="46"/>
  <c r="AC136" i="46"/>
  <c r="AF136" i="46"/>
  <c r="AG136" i="46"/>
  <c r="AJ136" i="46"/>
  <c r="AH136" i="46"/>
  <c r="AK136" i="46"/>
  <c r="AL136" i="46"/>
  <c r="AM136" i="46"/>
  <c r="AF138" i="46"/>
  <c r="AQ138" i="46"/>
  <c r="U153" i="46"/>
  <c r="V153" i="46"/>
  <c r="U158" i="46"/>
  <c r="C7" i="36"/>
  <c r="I7" i="36"/>
  <c r="C10" i="36"/>
  <c r="I10" i="36"/>
  <c r="C13" i="36"/>
  <c r="I13" i="36"/>
  <c r="C16" i="36"/>
  <c r="E16" i="36"/>
  <c r="F16" i="36"/>
  <c r="G16" i="36"/>
  <c r="H16" i="36"/>
  <c r="I16" i="36"/>
  <c r="E17" i="36"/>
  <c r="F17" i="36"/>
  <c r="G17" i="36"/>
  <c r="H17" i="36"/>
  <c r="E18" i="36"/>
  <c r="F18" i="36"/>
  <c r="G18" i="36"/>
  <c r="H18" i="36"/>
  <c r="C19" i="36"/>
  <c r="E19" i="36"/>
  <c r="F19" i="36"/>
  <c r="G19" i="36"/>
  <c r="H19" i="36"/>
  <c r="I19" i="36"/>
  <c r="E20" i="36"/>
  <c r="F20" i="36"/>
  <c r="G20" i="36"/>
  <c r="H20" i="36"/>
  <c r="E21" i="36"/>
  <c r="F21" i="36"/>
  <c r="G21" i="36"/>
  <c r="H21" i="36"/>
  <c r="P21" i="36"/>
  <c r="C22" i="36"/>
  <c r="E22" i="36"/>
  <c r="F22" i="36"/>
  <c r="G22" i="36"/>
  <c r="H22" i="36"/>
  <c r="I22" i="36"/>
  <c r="P22" i="36"/>
  <c r="E23" i="36"/>
  <c r="F23" i="36"/>
  <c r="G23" i="36"/>
  <c r="H23" i="36"/>
  <c r="P23" i="36"/>
  <c r="E24" i="36"/>
  <c r="F24" i="36"/>
  <c r="G24" i="36"/>
  <c r="H24" i="36"/>
  <c r="P24" i="36"/>
  <c r="C25" i="36"/>
  <c r="E25" i="36"/>
  <c r="F25" i="36"/>
  <c r="G25" i="36"/>
  <c r="H25" i="36"/>
  <c r="I25" i="36"/>
  <c r="P25" i="36"/>
  <c r="E26" i="36"/>
  <c r="F26" i="36"/>
  <c r="G26" i="36"/>
  <c r="H26" i="36"/>
  <c r="P26" i="36"/>
  <c r="E27" i="36"/>
  <c r="F27" i="36"/>
  <c r="G27" i="36"/>
  <c r="H27" i="36"/>
  <c r="P27" i="36"/>
  <c r="C28" i="36"/>
  <c r="E28" i="36"/>
  <c r="F28" i="36"/>
  <c r="G28" i="36"/>
  <c r="H28" i="36"/>
  <c r="I28" i="36"/>
  <c r="P28" i="36"/>
  <c r="E29" i="36"/>
  <c r="F29" i="36"/>
  <c r="G29" i="36"/>
  <c r="H29" i="36"/>
  <c r="K29" i="36"/>
  <c r="L29" i="36"/>
  <c r="P29" i="36"/>
  <c r="E30" i="36"/>
  <c r="F30" i="36"/>
  <c r="G30" i="36"/>
  <c r="H30" i="36"/>
  <c r="K30" i="36"/>
  <c r="L30" i="36"/>
  <c r="P30" i="36"/>
  <c r="C31" i="36"/>
  <c r="E31" i="36"/>
  <c r="F31" i="36"/>
  <c r="G31" i="36"/>
  <c r="H31" i="36"/>
  <c r="I31" i="36"/>
  <c r="K31" i="36"/>
  <c r="L31" i="36"/>
  <c r="P31" i="36"/>
  <c r="E32" i="36"/>
  <c r="F32" i="36"/>
  <c r="G32" i="36"/>
  <c r="H32" i="36"/>
  <c r="K32" i="36"/>
  <c r="L32" i="36"/>
  <c r="P32" i="36"/>
  <c r="E33" i="36"/>
  <c r="F33" i="36"/>
  <c r="G33" i="36"/>
  <c r="H33" i="36"/>
  <c r="K33" i="36"/>
  <c r="L33" i="36"/>
  <c r="P33" i="36"/>
  <c r="C34" i="36"/>
  <c r="E34" i="36"/>
  <c r="F34" i="36"/>
  <c r="G34" i="36"/>
  <c r="H34" i="36"/>
  <c r="I34" i="36"/>
  <c r="K34" i="36"/>
  <c r="L34" i="36"/>
  <c r="E35" i="36"/>
  <c r="F35" i="36"/>
  <c r="G35" i="36"/>
  <c r="H35" i="36"/>
  <c r="K35" i="36"/>
  <c r="L35" i="36"/>
  <c r="E36" i="36"/>
  <c r="F36" i="36"/>
  <c r="G36" i="36"/>
  <c r="H36" i="36"/>
  <c r="K36" i="36"/>
  <c r="L36" i="36"/>
  <c r="C37" i="36"/>
  <c r="E37" i="36"/>
  <c r="F37" i="36"/>
  <c r="G37" i="36"/>
  <c r="H37" i="36"/>
  <c r="I37" i="36"/>
  <c r="K37" i="36"/>
  <c r="L37" i="36"/>
  <c r="E38" i="36"/>
  <c r="F38" i="36"/>
  <c r="G38" i="36"/>
  <c r="H38" i="36"/>
  <c r="K38" i="36"/>
  <c r="L38" i="36"/>
  <c r="E39" i="36"/>
  <c r="F39" i="36"/>
  <c r="G39" i="36"/>
  <c r="H39" i="36"/>
  <c r="K39" i="36"/>
  <c r="L39" i="36"/>
  <c r="C40" i="36"/>
  <c r="E40" i="36"/>
  <c r="F40" i="36"/>
  <c r="G40" i="36"/>
  <c r="H40" i="36"/>
  <c r="I40" i="36"/>
  <c r="K40" i="36"/>
  <c r="L40" i="36"/>
  <c r="E41" i="36"/>
  <c r="F41" i="36"/>
  <c r="G41" i="36"/>
  <c r="H41" i="36"/>
  <c r="K41" i="36"/>
  <c r="L41" i="36"/>
  <c r="E42" i="36"/>
  <c r="F42" i="36"/>
  <c r="G42" i="36"/>
  <c r="H42" i="36"/>
  <c r="K42" i="36"/>
  <c r="L42" i="36"/>
  <c r="C43" i="36"/>
  <c r="E43" i="36"/>
  <c r="F43" i="36"/>
  <c r="G43" i="36"/>
  <c r="H43" i="36"/>
  <c r="I43" i="36"/>
  <c r="K43" i="36"/>
  <c r="L43" i="36"/>
  <c r="E44" i="36"/>
  <c r="F44" i="36"/>
  <c r="G44" i="36"/>
  <c r="H44" i="36"/>
  <c r="K44" i="36"/>
  <c r="L44" i="36"/>
  <c r="E45" i="36"/>
  <c r="F45" i="36"/>
  <c r="G45" i="36"/>
  <c r="H45" i="36"/>
  <c r="K45" i="36"/>
  <c r="L45" i="36"/>
  <c r="C46" i="36"/>
  <c r="E46" i="36"/>
  <c r="F46" i="36"/>
  <c r="G46" i="36"/>
  <c r="H46" i="36"/>
  <c r="I46" i="36"/>
  <c r="K46" i="36"/>
  <c r="L46" i="36"/>
  <c r="E47" i="36"/>
  <c r="F47" i="36"/>
  <c r="G47" i="36"/>
  <c r="H47" i="36"/>
  <c r="K47" i="36"/>
  <c r="L47" i="36"/>
  <c r="E48" i="36"/>
  <c r="F48" i="36"/>
  <c r="G48" i="36"/>
  <c r="H48" i="36"/>
  <c r="K48" i="36"/>
  <c r="L48" i="36"/>
  <c r="C49" i="36"/>
  <c r="E49" i="36"/>
  <c r="F49" i="36"/>
  <c r="G49" i="36"/>
  <c r="H49" i="36"/>
  <c r="I49" i="36"/>
  <c r="K49" i="36"/>
  <c r="L49" i="36"/>
  <c r="E50" i="36"/>
  <c r="F50" i="36"/>
  <c r="G50" i="36"/>
  <c r="H50" i="36"/>
  <c r="K50" i="36"/>
  <c r="L50" i="36"/>
  <c r="E51" i="36"/>
  <c r="F51" i="36"/>
  <c r="G51" i="36"/>
  <c r="H51" i="36"/>
  <c r="K51" i="36"/>
  <c r="L51" i="36"/>
  <c r="C52" i="36"/>
  <c r="E52" i="36"/>
  <c r="F52" i="36"/>
  <c r="G52" i="36"/>
  <c r="H52" i="36"/>
  <c r="I52" i="36"/>
  <c r="K52" i="36"/>
  <c r="L52" i="36"/>
  <c r="E53" i="36"/>
  <c r="F53" i="36"/>
  <c r="G53" i="36"/>
  <c r="H53" i="36"/>
  <c r="K53" i="36"/>
  <c r="L53" i="36"/>
  <c r="E54" i="36"/>
  <c r="F54" i="36"/>
  <c r="G54" i="36"/>
  <c r="H54" i="36"/>
  <c r="K54" i="36"/>
  <c r="L54" i="36"/>
  <c r="C55" i="36"/>
  <c r="E55" i="36"/>
  <c r="F55" i="36"/>
  <c r="G55" i="36"/>
  <c r="H55" i="36"/>
  <c r="I55" i="36"/>
  <c r="K55" i="36"/>
  <c r="L55" i="36"/>
  <c r="E56" i="36"/>
  <c r="F56" i="36"/>
  <c r="G56" i="36"/>
  <c r="H56" i="36"/>
  <c r="K56" i="36"/>
  <c r="L56" i="36"/>
  <c r="E57" i="36"/>
  <c r="F57" i="36"/>
  <c r="G57" i="36"/>
  <c r="H57" i="36"/>
  <c r="K57" i="36"/>
  <c r="L57" i="36"/>
  <c r="C58" i="36"/>
  <c r="E58" i="36"/>
  <c r="F58" i="36"/>
  <c r="G58" i="36"/>
  <c r="H58" i="36"/>
  <c r="I58" i="36"/>
  <c r="K58" i="36"/>
  <c r="L58" i="36"/>
  <c r="E59" i="36"/>
  <c r="F59" i="36"/>
  <c r="G59" i="36"/>
  <c r="H59" i="36"/>
  <c r="I59" i="36"/>
  <c r="K59" i="36"/>
  <c r="L59" i="36"/>
  <c r="E60" i="36"/>
  <c r="F60" i="36"/>
  <c r="G60" i="36"/>
  <c r="H60" i="36"/>
  <c r="I60" i="36"/>
  <c r="K60" i="36"/>
  <c r="L60" i="36"/>
  <c r="C61" i="36"/>
  <c r="E61" i="36"/>
  <c r="F61" i="36"/>
  <c r="G61" i="36"/>
  <c r="H61" i="36"/>
  <c r="I61" i="36"/>
  <c r="K61" i="36"/>
  <c r="L61" i="36"/>
  <c r="E62" i="36"/>
  <c r="F62" i="36"/>
  <c r="G62" i="36"/>
  <c r="H62" i="36"/>
  <c r="I62" i="36"/>
  <c r="K62" i="36"/>
  <c r="L62" i="36"/>
  <c r="E63" i="36"/>
  <c r="F63" i="36"/>
  <c r="G63" i="36"/>
  <c r="H63" i="36"/>
  <c r="I63" i="36"/>
  <c r="K63" i="36"/>
  <c r="L63" i="36"/>
  <c r="C64" i="36"/>
  <c r="E64" i="36"/>
  <c r="F64" i="36"/>
  <c r="G64" i="36"/>
  <c r="H64" i="36"/>
  <c r="I64" i="36"/>
  <c r="K64" i="36"/>
  <c r="L64" i="36"/>
  <c r="E65" i="36"/>
  <c r="F65" i="36"/>
  <c r="G65" i="36"/>
  <c r="H65" i="36"/>
  <c r="I65" i="36"/>
  <c r="K65" i="36"/>
  <c r="L65" i="36"/>
  <c r="E66" i="36"/>
  <c r="F66" i="36"/>
  <c r="G66" i="36"/>
  <c r="H66" i="36"/>
  <c r="I66" i="36"/>
  <c r="K66" i="36"/>
  <c r="L66" i="36"/>
  <c r="C67" i="36"/>
  <c r="E67" i="36"/>
  <c r="F67" i="36"/>
  <c r="G67" i="36"/>
  <c r="H67" i="36"/>
  <c r="I67" i="36"/>
  <c r="K67" i="36"/>
  <c r="L67" i="36"/>
  <c r="E68" i="36"/>
  <c r="F68" i="36"/>
  <c r="G68" i="36"/>
  <c r="H68" i="36"/>
  <c r="I68" i="36"/>
  <c r="K68" i="36"/>
  <c r="L68" i="36"/>
  <c r="E69" i="36"/>
  <c r="F69" i="36"/>
  <c r="G69" i="36"/>
  <c r="H69" i="36"/>
  <c r="I69" i="36"/>
  <c r="K69" i="36"/>
  <c r="L69" i="36"/>
  <c r="C70" i="36"/>
  <c r="E70" i="36"/>
  <c r="F70" i="36"/>
  <c r="G70" i="36"/>
  <c r="H70" i="36"/>
  <c r="I70" i="36"/>
  <c r="K70" i="36"/>
  <c r="L70" i="36"/>
  <c r="E71" i="36"/>
  <c r="F71" i="36"/>
  <c r="G71" i="36"/>
  <c r="H71" i="36"/>
  <c r="I71" i="36"/>
  <c r="K71" i="36"/>
  <c r="L71" i="36"/>
  <c r="E72" i="36"/>
  <c r="F72" i="36"/>
  <c r="G72" i="36"/>
  <c r="H72" i="36"/>
  <c r="I72" i="36"/>
  <c r="K72" i="36"/>
  <c r="L72" i="36"/>
  <c r="C73" i="36"/>
  <c r="E73" i="36"/>
  <c r="F73" i="36"/>
  <c r="G73" i="36"/>
  <c r="H73" i="36"/>
  <c r="I73" i="36"/>
  <c r="K73" i="36"/>
  <c r="L73" i="36"/>
  <c r="E74" i="36"/>
  <c r="F74" i="36"/>
  <c r="G74" i="36"/>
  <c r="H74" i="36"/>
  <c r="I74" i="36"/>
  <c r="K74" i="36"/>
  <c r="L74" i="36"/>
  <c r="E75" i="36"/>
  <c r="F75" i="36"/>
  <c r="G75" i="36"/>
  <c r="H75" i="36"/>
  <c r="I75" i="36"/>
  <c r="K75" i="36"/>
  <c r="L75" i="36"/>
  <c r="C76" i="36"/>
  <c r="E76" i="36"/>
  <c r="F76" i="36"/>
  <c r="G76" i="36"/>
  <c r="H76" i="36"/>
  <c r="I76" i="36"/>
  <c r="K76" i="36"/>
  <c r="L76" i="36"/>
  <c r="E77" i="36"/>
  <c r="F77" i="36"/>
  <c r="G77" i="36"/>
  <c r="H77" i="36"/>
  <c r="I77" i="36"/>
  <c r="K77" i="36"/>
  <c r="L77" i="36"/>
  <c r="E78" i="36"/>
  <c r="F78" i="36"/>
  <c r="G78" i="36"/>
  <c r="H78" i="36"/>
  <c r="I78" i="36"/>
  <c r="K78" i="36"/>
  <c r="L78" i="36"/>
  <c r="C79" i="36"/>
  <c r="E79" i="36"/>
  <c r="F79" i="36"/>
  <c r="G79" i="36"/>
  <c r="H79" i="36"/>
  <c r="I79" i="36"/>
  <c r="K79" i="36"/>
  <c r="L79" i="36"/>
  <c r="E80" i="36"/>
  <c r="F80" i="36"/>
  <c r="G80" i="36"/>
  <c r="H80" i="36"/>
  <c r="I80" i="36"/>
  <c r="K80" i="36"/>
  <c r="L80" i="36"/>
  <c r="E81" i="36"/>
  <c r="F81" i="36"/>
  <c r="G81" i="36"/>
  <c r="H81" i="36"/>
  <c r="I81" i="36"/>
  <c r="K81" i="36"/>
  <c r="L81" i="36"/>
  <c r="C82" i="36"/>
  <c r="E82" i="36"/>
  <c r="F82" i="36"/>
  <c r="G82" i="36"/>
  <c r="H82" i="36"/>
  <c r="I82" i="36"/>
  <c r="K82" i="36"/>
  <c r="L82" i="36"/>
  <c r="E83" i="36"/>
  <c r="F83" i="36"/>
  <c r="G83" i="36"/>
  <c r="H83" i="36"/>
  <c r="I83" i="36"/>
  <c r="K83" i="36"/>
  <c r="L83" i="36"/>
  <c r="E84" i="36"/>
  <c r="F84" i="36"/>
  <c r="G84" i="36"/>
  <c r="H84" i="36"/>
  <c r="I84" i="36"/>
  <c r="K84" i="36"/>
  <c r="L84" i="36"/>
  <c r="C85" i="36"/>
  <c r="E85" i="36"/>
  <c r="F85" i="36"/>
  <c r="G85" i="36"/>
  <c r="H85" i="36"/>
  <c r="I85" i="36"/>
  <c r="K85" i="36"/>
  <c r="L85" i="36"/>
  <c r="E86" i="36"/>
  <c r="F86" i="36"/>
  <c r="G86" i="36"/>
  <c r="H86" i="36"/>
  <c r="I86" i="36"/>
  <c r="K86" i="36"/>
  <c r="L86" i="36"/>
  <c r="E87" i="36"/>
  <c r="F87" i="36"/>
  <c r="G87" i="36"/>
  <c r="H87" i="36"/>
  <c r="I87" i="36"/>
  <c r="K87" i="36"/>
  <c r="L87" i="36"/>
  <c r="C88" i="36"/>
  <c r="E88" i="36"/>
  <c r="F88" i="36"/>
  <c r="G88" i="36"/>
  <c r="H88" i="36"/>
  <c r="I88" i="36"/>
  <c r="K88" i="36"/>
  <c r="L88" i="36"/>
  <c r="E89" i="36"/>
  <c r="F89" i="36"/>
  <c r="G89" i="36"/>
  <c r="H89" i="36"/>
  <c r="I89" i="36"/>
  <c r="K89" i="36"/>
  <c r="L89" i="36"/>
  <c r="E90" i="36"/>
  <c r="F90" i="36"/>
  <c r="G90" i="36"/>
  <c r="H90" i="36"/>
  <c r="I90" i="36"/>
  <c r="K90" i="36"/>
  <c r="L90" i="36"/>
  <c r="C91" i="36"/>
  <c r="E91" i="36"/>
  <c r="F91" i="36"/>
  <c r="G91" i="36"/>
  <c r="H91" i="36"/>
  <c r="I91" i="36"/>
  <c r="K91" i="36"/>
  <c r="L91" i="36"/>
  <c r="E92" i="36"/>
  <c r="F92" i="36"/>
  <c r="G92" i="36"/>
  <c r="H92" i="36"/>
  <c r="I92" i="36"/>
  <c r="K92" i="36"/>
  <c r="L92" i="36"/>
  <c r="E93" i="36"/>
  <c r="F93" i="36"/>
  <c r="G93" i="36"/>
  <c r="H93" i="36"/>
  <c r="I93" i="36"/>
  <c r="K93" i="36"/>
  <c r="L93" i="36"/>
  <c r="C94" i="36"/>
  <c r="E94" i="36"/>
  <c r="F94" i="36"/>
  <c r="G94" i="36"/>
  <c r="H94" i="36"/>
  <c r="I94" i="36"/>
  <c r="K94" i="36"/>
  <c r="L94" i="36"/>
  <c r="H95" i="36"/>
  <c r="H96" i="36"/>
  <c r="C97" i="36"/>
  <c r="H97" i="36"/>
  <c r="H98" i="36"/>
  <c r="H99" i="36"/>
  <c r="C100" i="36"/>
  <c r="H100" i="36"/>
  <c r="H101" i="36"/>
  <c r="H102" i="36"/>
  <c r="B105" i="36"/>
  <c r="C105" i="36"/>
  <c r="D105" i="36"/>
  <c r="E105" i="36"/>
  <c r="G105" i="36"/>
  <c r="I105" i="36"/>
  <c r="J105" i="36"/>
  <c r="K105" i="36"/>
  <c r="L105" i="36"/>
  <c r="B106" i="36"/>
  <c r="C106" i="36"/>
  <c r="D106" i="36"/>
  <c r="E106" i="36"/>
  <c r="G106" i="36"/>
  <c r="I106" i="36"/>
  <c r="J106" i="36"/>
  <c r="K106" i="36"/>
  <c r="L106" i="36"/>
  <c r="C4" i="28"/>
  <c r="D4" i="28"/>
  <c r="E4" i="28"/>
  <c r="G4" i="28"/>
  <c r="U4" i="28"/>
  <c r="AA4" i="28"/>
  <c r="AB4" i="28"/>
  <c r="AC4" i="28"/>
  <c r="AE4" i="28"/>
  <c r="AF4" i="28"/>
  <c r="AG4" i="28"/>
  <c r="AH4" i="28"/>
  <c r="AI4" i="28"/>
  <c r="AK4" i="28"/>
  <c r="C5" i="28"/>
  <c r="D5" i="28"/>
  <c r="E5" i="28"/>
  <c r="L5" i="28"/>
  <c r="M5" i="28"/>
  <c r="U5" i="28"/>
  <c r="Y5" i="28"/>
  <c r="Z5" i="28"/>
  <c r="AA5" i="28"/>
  <c r="AC5" i="28"/>
  <c r="AF5" i="28"/>
  <c r="AG5" i="28"/>
  <c r="AI5" i="28"/>
  <c r="AK5" i="28"/>
  <c r="D6" i="28"/>
  <c r="E6" i="28"/>
  <c r="L6" i="28"/>
  <c r="M6" i="28"/>
  <c r="N6" i="28"/>
  <c r="T6" i="28"/>
  <c r="U6" i="28"/>
  <c r="X6" i="28"/>
  <c r="Y6" i="28"/>
  <c r="Z6" i="28"/>
  <c r="AA6" i="28"/>
  <c r="AC6" i="28"/>
  <c r="AD6" i="28"/>
  <c r="AE6" i="28"/>
  <c r="AF6" i="28"/>
  <c r="AG6" i="28"/>
  <c r="AH6" i="28"/>
  <c r="AI6" i="28"/>
  <c r="AK6" i="28"/>
  <c r="L7" i="28"/>
  <c r="M7" i="28"/>
  <c r="N7" i="28"/>
  <c r="U7" i="28"/>
  <c r="Y7" i="28"/>
  <c r="Z7" i="28"/>
  <c r="AA7" i="28"/>
  <c r="AP7" i="28"/>
  <c r="AD7" i="28"/>
  <c r="AE7" i="28"/>
  <c r="AF7" i="28"/>
  <c r="AR7" i="28"/>
  <c r="AB7" i="28"/>
  <c r="AC7" i="28"/>
  <c r="AG7" i="28"/>
  <c r="AH7" i="28"/>
  <c r="AI7" i="28"/>
  <c r="AK7" i="28"/>
  <c r="U8" i="28"/>
  <c r="Y8" i="28"/>
  <c r="Z8" i="28"/>
  <c r="AA8" i="28"/>
  <c r="AB8" i="28"/>
  <c r="AC8" i="28"/>
  <c r="AD8" i="28"/>
  <c r="AE8" i="28"/>
  <c r="AF8" i="28"/>
  <c r="AG8" i="28"/>
  <c r="AH8" i="28"/>
  <c r="AI8" i="28"/>
  <c r="AK8" i="28"/>
  <c r="G9" i="28"/>
  <c r="D12" i="28"/>
  <c r="B13" i="28"/>
  <c r="C13" i="28"/>
  <c r="D13" i="28"/>
  <c r="E13" i="28"/>
  <c r="F13" i="28"/>
  <c r="G13" i="28"/>
  <c r="D16" i="28"/>
  <c r="G16" i="28"/>
  <c r="C17" i="28"/>
  <c r="D17" i="28"/>
  <c r="E17" i="28"/>
  <c r="F17" i="28"/>
  <c r="G17" i="28"/>
  <c r="C18" i="28"/>
  <c r="D18" i="28"/>
  <c r="E18" i="28"/>
  <c r="F18" i="28"/>
  <c r="G18" i="28"/>
  <c r="B19" i="28"/>
  <c r="C19" i="28"/>
  <c r="D19" i="28"/>
  <c r="E19" i="28"/>
  <c r="F19" i="28"/>
  <c r="G19" i="28"/>
  <c r="B20" i="28"/>
  <c r="E34" i="28"/>
  <c r="E22" i="28"/>
  <c r="E23" i="28"/>
  <c r="E24" i="28"/>
  <c r="E36" i="28"/>
  <c r="E20" i="28"/>
  <c r="F20" i="28"/>
  <c r="G20" i="28"/>
  <c r="B21" i="28"/>
  <c r="C21" i="28"/>
  <c r="D21" i="28"/>
  <c r="E21" i="28"/>
  <c r="F21" i="28"/>
  <c r="G21" i="28"/>
  <c r="D22" i="28"/>
  <c r="F22" i="28"/>
  <c r="G22" i="28"/>
  <c r="B23" i="28"/>
  <c r="D23" i="28"/>
  <c r="F23" i="28"/>
  <c r="G23" i="28"/>
  <c r="B24" i="28"/>
  <c r="C24" i="28"/>
  <c r="D24" i="28"/>
  <c r="F24" i="28"/>
  <c r="G24" i="28"/>
  <c r="B25" i="28"/>
  <c r="C25" i="28"/>
  <c r="D25" i="28"/>
  <c r="E25" i="28"/>
  <c r="F25" i="28"/>
  <c r="G25" i="28"/>
  <c r="B26" i="28"/>
  <c r="D26" i="28"/>
  <c r="E26" i="28"/>
  <c r="F26" i="28"/>
  <c r="G26" i="28"/>
  <c r="B27" i="28"/>
  <c r="C27" i="28"/>
  <c r="D27" i="28"/>
  <c r="E27" i="28"/>
  <c r="F27" i="28"/>
  <c r="G27" i="28"/>
  <c r="B29" i="28"/>
  <c r="C29" i="28"/>
  <c r="D29" i="28"/>
  <c r="E29" i="28"/>
  <c r="F29" i="28"/>
  <c r="G29" i="28"/>
  <c r="B36" i="28"/>
  <c r="B52" i="28"/>
  <c r="B56" i="28"/>
  <c r="C56" i="28"/>
  <c r="B57" i="28"/>
  <c r="B58" i="28"/>
  <c r="B60" i="28"/>
  <c r="B62" i="28"/>
  <c r="B63" i="28"/>
  <c r="B64" i="28"/>
  <c r="B65" i="28"/>
  <c r="B66" i="28"/>
  <c r="B68" i="28"/>
  <c r="B71" i="28"/>
  <c r="B72" i="28"/>
  <c r="B73" i="28"/>
  <c r="C73" i="28"/>
  <c r="B74" i="28"/>
  <c r="C74" i="28"/>
  <c r="B75" i="28"/>
  <c r="C75" i="28"/>
  <c r="K1" i="62"/>
  <c r="K2" i="62"/>
  <c r="D5" i="62"/>
  <c r="E5" i="62"/>
  <c r="K5" i="62"/>
  <c r="L5" i="62"/>
  <c r="E6" i="62"/>
  <c r="K6" i="62"/>
  <c r="L6" i="62"/>
  <c r="E7" i="62"/>
  <c r="E8" i="62"/>
  <c r="L8" i="62"/>
  <c r="K8" i="62"/>
  <c r="B12" i="62"/>
  <c r="C12" i="62"/>
  <c r="E12" i="62"/>
  <c r="F12" i="62"/>
  <c r="G12" i="62"/>
  <c r="E14" i="62"/>
  <c r="K14" i="62"/>
  <c r="L14" i="62"/>
  <c r="E15" i="62"/>
  <c r="H15" i="62"/>
  <c r="L15" i="62"/>
  <c r="K15" i="62"/>
  <c r="B16" i="62"/>
  <c r="C16" i="62"/>
  <c r="E16" i="62"/>
  <c r="H16" i="62"/>
  <c r="I16" i="62"/>
  <c r="K16" i="62"/>
  <c r="L16" i="62"/>
  <c r="M16" i="62"/>
  <c r="B17" i="62"/>
  <c r="C17" i="62"/>
  <c r="E17" i="62"/>
  <c r="H17" i="62"/>
  <c r="I17" i="62"/>
  <c r="K17" i="62"/>
  <c r="L17" i="62"/>
  <c r="M17" i="62"/>
  <c r="B18" i="62"/>
  <c r="C18" i="62"/>
  <c r="E18" i="62"/>
  <c r="F18" i="62"/>
  <c r="G18" i="62"/>
  <c r="H18" i="62"/>
  <c r="I18" i="62"/>
  <c r="J18" i="62"/>
  <c r="K18" i="62"/>
  <c r="L18" i="62"/>
  <c r="M18" i="62"/>
  <c r="F19" i="62"/>
  <c r="H19" i="62"/>
  <c r="K19" i="62"/>
  <c r="L19" i="62"/>
  <c r="M19" i="62"/>
  <c r="B20" i="62"/>
  <c r="C20" i="62"/>
  <c r="E20" i="62"/>
  <c r="F20" i="62"/>
  <c r="G20" i="62"/>
  <c r="K20" i="62"/>
  <c r="L20" i="62"/>
  <c r="M20" i="62"/>
  <c r="B22" i="62"/>
  <c r="C22" i="62"/>
  <c r="E22" i="62"/>
  <c r="F22" i="62"/>
  <c r="G22" i="62"/>
  <c r="B23" i="62"/>
  <c r="C23" i="62"/>
  <c r="E23" i="62"/>
  <c r="F23" i="62"/>
  <c r="G23" i="62"/>
  <c r="B24" i="62"/>
  <c r="C24" i="62"/>
  <c r="E24" i="62"/>
  <c r="F24" i="62"/>
  <c r="G24" i="62"/>
  <c r="B25" i="62"/>
  <c r="C25" i="62"/>
  <c r="E25" i="62"/>
  <c r="F25" i="62"/>
  <c r="G25" i="62"/>
  <c r="B26" i="62"/>
  <c r="C26" i="62"/>
  <c r="E26" i="62"/>
  <c r="F26" i="62"/>
  <c r="G26" i="62"/>
  <c r="B28" i="62"/>
  <c r="C28" i="62"/>
  <c r="E28" i="62"/>
  <c r="F28" i="62"/>
  <c r="G28" i="62"/>
  <c r="B32" i="62"/>
  <c r="C32" i="62"/>
  <c r="E32" i="62"/>
  <c r="F32" i="62"/>
  <c r="G32" i="62"/>
  <c r="H32" i="62"/>
  <c r="I32" i="62"/>
  <c r="J32" i="62"/>
  <c r="K32" i="62"/>
  <c r="L32" i="62"/>
  <c r="M32" i="62"/>
  <c r="B34" i="62"/>
  <c r="C34" i="62"/>
  <c r="D34" i="62"/>
  <c r="E34" i="62"/>
  <c r="B35" i="62"/>
  <c r="C35" i="62"/>
  <c r="D35" i="62"/>
  <c r="E35" i="62"/>
  <c r="E39" i="62"/>
  <c r="H39" i="62"/>
  <c r="J39" i="62"/>
  <c r="K39" i="62"/>
  <c r="L39" i="62"/>
  <c r="M39" i="62"/>
  <c r="E41" i="62"/>
  <c r="K41" i="62"/>
  <c r="L41" i="62"/>
  <c r="E44" i="62"/>
  <c r="F44" i="62"/>
  <c r="G44" i="62"/>
  <c r="H44" i="62"/>
  <c r="K44" i="62"/>
  <c r="L44" i="62"/>
  <c r="M44" i="62"/>
  <c r="M46" i="62"/>
  <c r="I47" i="62"/>
  <c r="J47" i="62"/>
  <c r="K47" i="62"/>
  <c r="L47" i="62"/>
  <c r="M47" i="62"/>
  <c r="E51" i="62"/>
  <c r="H51" i="62"/>
  <c r="K51" i="62"/>
  <c r="L51" i="62"/>
  <c r="M51" i="62"/>
  <c r="E52" i="62"/>
  <c r="H52" i="62"/>
  <c r="K52" i="62"/>
  <c r="L52" i="62"/>
  <c r="M52" i="62"/>
  <c r="E55" i="62"/>
  <c r="I55" i="62"/>
  <c r="K55" i="62"/>
  <c r="L55" i="62"/>
  <c r="M55" i="62"/>
  <c r="I57" i="62"/>
  <c r="E58" i="62"/>
  <c r="F58" i="62"/>
  <c r="G58" i="62"/>
  <c r="I58" i="62"/>
  <c r="K58" i="62"/>
  <c r="L58" i="62"/>
  <c r="M58" i="62"/>
  <c r="E64" i="62"/>
  <c r="H64" i="62"/>
  <c r="I64" i="62"/>
  <c r="K64" i="62"/>
  <c r="L64" i="62"/>
  <c r="M64" i="62"/>
  <c r="E65" i="62"/>
  <c r="I65" i="62"/>
  <c r="K65" i="62"/>
  <c r="L65" i="62"/>
  <c r="M65" i="62"/>
  <c r="E66" i="62"/>
  <c r="H66" i="62"/>
  <c r="I66" i="62"/>
  <c r="K66" i="62"/>
  <c r="L66" i="62"/>
  <c r="M66" i="62"/>
  <c r="E67" i="62"/>
  <c r="H67" i="62"/>
  <c r="I67" i="62"/>
  <c r="K67" i="62"/>
  <c r="L67" i="62"/>
  <c r="M67" i="62"/>
  <c r="E68" i="62"/>
  <c r="H68" i="62"/>
  <c r="I68" i="62"/>
  <c r="K68" i="62"/>
  <c r="L68" i="62"/>
  <c r="M68" i="62"/>
  <c r="H71" i="62"/>
  <c r="M71" i="62"/>
  <c r="H77" i="62"/>
  <c r="M105" i="62"/>
  <c r="M77" i="62"/>
  <c r="H78" i="62"/>
  <c r="M78" i="62"/>
  <c r="H80" i="62"/>
  <c r="M80" i="62"/>
  <c r="H83" i="62"/>
  <c r="M83" i="62"/>
  <c r="H85" i="62"/>
  <c r="M85" i="62"/>
  <c r="M87" i="62"/>
  <c r="M88" i="62"/>
  <c r="H124" i="62"/>
  <c r="G124" i="62"/>
  <c r="F124" i="62"/>
  <c r="L124" i="62"/>
  <c r="H125" i="62"/>
  <c r="G125" i="62"/>
  <c r="F125" i="62"/>
  <c r="G14" i="63"/>
  <c r="G26" i="63"/>
  <c r="G28" i="63"/>
  <c r="G41" i="63"/>
  <c r="G45" i="63"/>
  <c r="G49" i="63"/>
  <c r="G58" i="63"/>
  <c r="G86" i="63"/>
  <c r="G92" i="63"/>
  <c r="G97" i="63"/>
  <c r="G99" i="63"/>
  <c r="G109" i="63"/>
  <c r="G112" i="63"/>
  <c r="G1" i="63"/>
  <c r="H11" i="63"/>
  <c r="H54" i="63"/>
  <c r="H62" i="63"/>
  <c r="H70" i="63"/>
  <c r="H83" i="63"/>
  <c r="H88" i="63"/>
  <c r="H96" i="63"/>
  <c r="H1" i="63"/>
  <c r="I8" i="63"/>
  <c r="I9" i="63"/>
  <c r="I1" i="63"/>
  <c r="I2" i="63"/>
  <c r="F12" i="63"/>
  <c r="F42" i="63"/>
  <c r="F49" i="63"/>
  <c r="F100" i="63"/>
  <c r="F115" i="63"/>
  <c r="F212" i="63"/>
  <c r="F254" i="63"/>
  <c r="F257" i="63"/>
  <c r="F10" i="59"/>
  <c r="F19" i="59"/>
  <c r="F21" i="59"/>
  <c r="F24" i="59"/>
  <c r="F26" i="59"/>
  <c r="B58" i="59"/>
  <c r="F29" i="59"/>
  <c r="F30" i="59"/>
  <c r="F35" i="59"/>
  <c r="F38" i="59"/>
  <c r="F40" i="59"/>
  <c r="F43" i="59"/>
  <c r="F50" i="59"/>
  <c r="F53" i="59"/>
  <c r="C60" i="59"/>
  <c r="J6" i="31"/>
  <c r="V6" i="31"/>
  <c r="AB6" i="31"/>
  <c r="AC6" i="31"/>
  <c r="AD6" i="31"/>
  <c r="AF6" i="31"/>
  <c r="AG6" i="31"/>
  <c r="AH6" i="31"/>
  <c r="AI6" i="31"/>
  <c r="AJ6" i="31"/>
  <c r="AL6" i="31"/>
  <c r="G7" i="31"/>
  <c r="J7" i="31"/>
  <c r="M7" i="31"/>
  <c r="N7" i="31"/>
  <c r="V7" i="31"/>
  <c r="Z7" i="31"/>
  <c r="AA7" i="31"/>
  <c r="AB7" i="31"/>
  <c r="AD7" i="31"/>
  <c r="AG7" i="31"/>
  <c r="AH7" i="31"/>
  <c r="AJ7" i="31"/>
  <c r="AL7" i="31"/>
  <c r="J8" i="31"/>
  <c r="M8" i="31"/>
  <c r="N8" i="31"/>
  <c r="O8" i="31"/>
  <c r="U8" i="31"/>
  <c r="V8" i="31"/>
  <c r="Y8" i="31"/>
  <c r="Z8" i="31"/>
  <c r="AA8" i="31"/>
  <c r="AB8" i="31"/>
  <c r="AD8" i="31"/>
  <c r="AE8" i="31"/>
  <c r="AF8" i="31"/>
  <c r="AG8" i="31"/>
  <c r="AH8" i="31"/>
  <c r="AI8" i="31"/>
  <c r="AJ8" i="31"/>
  <c r="AL8" i="31"/>
  <c r="J9" i="31"/>
  <c r="M9" i="31"/>
  <c r="N9" i="31"/>
  <c r="O9" i="31"/>
  <c r="V9" i="31"/>
  <c r="Z9" i="31"/>
  <c r="AA9" i="31"/>
  <c r="AB9" i="31"/>
  <c r="AQ9" i="31"/>
  <c r="AE9" i="31"/>
  <c r="AF9" i="31"/>
  <c r="AG9" i="31"/>
  <c r="AS9" i="31"/>
  <c r="AC9" i="31"/>
  <c r="AD9" i="31"/>
  <c r="AH9" i="31"/>
  <c r="AI9" i="31"/>
  <c r="AJ9" i="31"/>
  <c r="AL9" i="31"/>
  <c r="G10" i="31"/>
  <c r="J10" i="31"/>
  <c r="V10" i="31"/>
  <c r="Z10" i="31"/>
  <c r="AA10" i="31"/>
  <c r="AB10" i="31"/>
  <c r="AC10" i="31"/>
  <c r="AD10" i="31"/>
  <c r="AE10" i="31"/>
  <c r="AF10" i="31"/>
  <c r="AG10" i="31"/>
  <c r="AH10" i="31"/>
  <c r="AI10" i="31"/>
  <c r="AJ10" i="31"/>
  <c r="AL10" i="31"/>
  <c r="G13" i="31"/>
  <c r="J13" i="31"/>
  <c r="J14" i="31"/>
  <c r="B15" i="31"/>
  <c r="C15" i="31"/>
  <c r="D15" i="31"/>
  <c r="E15" i="31"/>
  <c r="F15" i="31"/>
  <c r="G15" i="31"/>
  <c r="J15" i="31"/>
  <c r="J16" i="31"/>
  <c r="J17" i="31"/>
  <c r="C19" i="31"/>
  <c r="D19" i="31"/>
  <c r="E19" i="31"/>
  <c r="F19" i="31"/>
  <c r="G19" i="31"/>
  <c r="J19" i="31"/>
  <c r="C20" i="31"/>
  <c r="D20" i="31"/>
  <c r="E20" i="31"/>
  <c r="F20" i="31"/>
  <c r="G20" i="31"/>
  <c r="J20" i="31"/>
  <c r="B21" i="31"/>
  <c r="C21" i="31"/>
  <c r="D21" i="31"/>
  <c r="E21" i="31"/>
  <c r="F21" i="31"/>
  <c r="G21" i="31"/>
  <c r="J21" i="31"/>
  <c r="B22" i="31"/>
  <c r="E36" i="31"/>
  <c r="E24" i="31"/>
  <c r="E25" i="31"/>
  <c r="E26" i="31"/>
  <c r="E38" i="31"/>
  <c r="E22" i="31"/>
  <c r="F22" i="31"/>
  <c r="J22" i="31"/>
  <c r="B23" i="31"/>
  <c r="C23" i="31"/>
  <c r="D23" i="31"/>
  <c r="E23" i="31"/>
  <c r="F23" i="31"/>
  <c r="G23" i="31"/>
  <c r="J23" i="31"/>
  <c r="D24" i="31"/>
  <c r="F24" i="31"/>
  <c r="G24" i="31"/>
  <c r="J24" i="31"/>
  <c r="B25" i="31"/>
  <c r="D25" i="31"/>
  <c r="F25" i="31"/>
  <c r="G25" i="31"/>
  <c r="J25" i="31"/>
  <c r="B26" i="31"/>
  <c r="C26" i="31"/>
  <c r="D26" i="31"/>
  <c r="F26" i="31"/>
  <c r="G26" i="31"/>
  <c r="J26" i="31"/>
  <c r="B27" i="31"/>
  <c r="C27" i="31"/>
  <c r="D27" i="31"/>
  <c r="E27" i="31"/>
  <c r="F27" i="31"/>
  <c r="G27" i="31"/>
  <c r="J27" i="31"/>
  <c r="B28" i="31"/>
  <c r="D28" i="31"/>
  <c r="E28" i="31"/>
  <c r="F28" i="31"/>
  <c r="G28" i="31"/>
  <c r="J28" i="31"/>
  <c r="B29" i="31"/>
  <c r="C29" i="31"/>
  <c r="D29" i="31"/>
  <c r="E29" i="31"/>
  <c r="F29" i="31"/>
  <c r="G29" i="31"/>
  <c r="J29" i="31"/>
  <c r="B31" i="31"/>
  <c r="C31" i="31"/>
  <c r="D31" i="31"/>
  <c r="E31" i="31"/>
  <c r="F31" i="31"/>
  <c r="G31" i="31"/>
  <c r="H31" i="31"/>
  <c r="J31" i="31"/>
  <c r="I31" i="31"/>
  <c r="G42" i="31"/>
  <c r="M22" i="12"/>
  <c r="P22" i="12"/>
  <c r="N36" i="12"/>
  <c r="N47" i="12"/>
  <c r="O47" i="12"/>
  <c r="P47" i="12"/>
  <c r="M90" i="12"/>
  <c r="M91" i="12"/>
  <c r="M92" i="12"/>
  <c r="N90" i="12"/>
  <c r="N92" i="12"/>
  <c r="P92" i="12"/>
  <c r="P2" i="12"/>
  <c r="I15" i="12"/>
  <c r="F35" i="12"/>
  <c r="G35" i="12"/>
  <c r="I35" i="12"/>
  <c r="J35" i="12"/>
  <c r="K35" i="12"/>
  <c r="F47" i="12"/>
  <c r="G47" i="12"/>
  <c r="B50" i="12"/>
  <c r="C50" i="12"/>
  <c r="D50" i="12"/>
  <c r="F50" i="12"/>
  <c r="B57" i="12"/>
  <c r="C57" i="12"/>
  <c r="D57" i="12"/>
  <c r="B59" i="12"/>
  <c r="C59" i="12"/>
  <c r="D59" i="12"/>
  <c r="C91" i="12"/>
  <c r="D100" i="12"/>
  <c r="O100" i="12"/>
  <c r="B113" i="12"/>
  <c r="C113" i="12"/>
  <c r="D113" i="12"/>
  <c r="B117" i="12"/>
  <c r="C117" i="12"/>
  <c r="D117" i="12"/>
  <c r="E117" i="12"/>
  <c r="F117" i="12"/>
  <c r="G117" i="12"/>
  <c r="D129" i="12"/>
  <c r="B126" i="12"/>
  <c r="B127" i="12"/>
  <c r="B118" i="12"/>
  <c r="D132" i="12"/>
  <c r="C126" i="12"/>
  <c r="C127" i="12"/>
  <c r="C118" i="12"/>
  <c r="D136" i="12"/>
  <c r="D126" i="12"/>
  <c r="D127" i="12"/>
  <c r="D118" i="12"/>
  <c r="D137" i="12"/>
  <c r="E126" i="12"/>
  <c r="E127" i="12"/>
  <c r="E118" i="12"/>
  <c r="D139" i="12"/>
  <c r="F126" i="12"/>
  <c r="F127" i="12"/>
  <c r="F118" i="12"/>
  <c r="B119" i="12"/>
  <c r="C119" i="12"/>
  <c r="D119" i="12"/>
  <c r="E119" i="12"/>
  <c r="F119" i="12"/>
  <c r="B124" i="12"/>
  <c r="C124" i="12"/>
  <c r="D124" i="12"/>
  <c r="E124" i="12"/>
  <c r="F124" i="12"/>
  <c r="G124" i="12"/>
  <c r="H124" i="12"/>
  <c r="D130" i="12"/>
  <c r="D131" i="12"/>
  <c r="D133" i="12"/>
  <c r="D134" i="12"/>
  <c r="D135" i="12"/>
  <c r="D138" i="12"/>
  <c r="P14" i="64"/>
  <c r="S14" i="64"/>
  <c r="P15" i="64"/>
  <c r="S15" i="64"/>
  <c r="P16" i="64"/>
  <c r="S16" i="64"/>
  <c r="P17" i="64"/>
  <c r="S17" i="64"/>
  <c r="P18" i="64"/>
  <c r="S18" i="64"/>
  <c r="P19" i="64"/>
  <c r="S19" i="64"/>
  <c r="O61" i="64"/>
  <c r="R61" i="64"/>
  <c r="S61" i="64"/>
  <c r="T61" i="64"/>
  <c r="U61" i="64"/>
  <c r="V61" i="64"/>
  <c r="W61" i="64"/>
  <c r="X61" i="64"/>
  <c r="O62" i="64"/>
  <c r="R62" i="64"/>
  <c r="S62" i="64"/>
  <c r="T62" i="64"/>
  <c r="U62" i="64"/>
  <c r="V62" i="64"/>
  <c r="W62" i="64"/>
  <c r="X62" i="64"/>
  <c r="O63" i="64"/>
  <c r="R63" i="64"/>
  <c r="S63" i="64"/>
  <c r="T63" i="64"/>
  <c r="U63" i="64"/>
  <c r="V63" i="64"/>
  <c r="W63" i="64"/>
  <c r="X63" i="64"/>
  <c r="O64" i="64"/>
  <c r="R64" i="64"/>
  <c r="S64" i="64"/>
  <c r="T64" i="64"/>
  <c r="U64" i="64"/>
  <c r="V64" i="64"/>
  <c r="W64" i="64"/>
  <c r="X64" i="64"/>
  <c r="O65" i="64"/>
  <c r="R65" i="64"/>
  <c r="S65" i="64"/>
  <c r="T65" i="64"/>
  <c r="U65" i="64"/>
  <c r="V65" i="64"/>
  <c r="W65" i="64"/>
  <c r="X65" i="64"/>
  <c r="O66" i="64"/>
  <c r="R66" i="64"/>
  <c r="S66" i="64"/>
  <c r="T66" i="64"/>
  <c r="U66" i="64"/>
  <c r="V66" i="64"/>
  <c r="W66" i="64"/>
  <c r="X66" i="64"/>
  <c r="O67" i="64"/>
  <c r="R67" i="64"/>
  <c r="S67" i="64"/>
  <c r="T67" i="64"/>
  <c r="U67" i="64"/>
  <c r="V67" i="64"/>
  <c r="W67" i="64"/>
  <c r="X67" i="64"/>
  <c r="L80" i="64"/>
  <c r="M80" i="64"/>
  <c r="N80" i="64"/>
  <c r="O80" i="64"/>
  <c r="R80" i="64"/>
  <c r="S80" i="64"/>
  <c r="T80" i="64"/>
  <c r="U80" i="64"/>
  <c r="V80" i="64"/>
  <c r="W80" i="64"/>
  <c r="X80" i="64"/>
  <c r="T82" i="64"/>
  <c r="U82" i="64"/>
  <c r="V82" i="64"/>
  <c r="W82" i="64"/>
  <c r="X82" i="64"/>
  <c r="X147" i="64"/>
  <c r="X148" i="64"/>
  <c r="X149" i="64"/>
  <c r="X150" i="64"/>
  <c r="X151" i="64"/>
  <c r="X152" i="64"/>
  <c r="X153" i="64"/>
  <c r="X170" i="64"/>
  <c r="X172" i="64"/>
  <c r="X84" i="64"/>
  <c r="U92" i="64"/>
  <c r="V92" i="64"/>
  <c r="W92" i="64"/>
  <c r="X92" i="64"/>
  <c r="Y92" i="64"/>
  <c r="Z92" i="64"/>
  <c r="AA92" i="64"/>
  <c r="U93" i="64"/>
  <c r="V93" i="64"/>
  <c r="W93" i="64"/>
  <c r="X93" i="64"/>
  <c r="Y93" i="64"/>
  <c r="Z93" i="64"/>
  <c r="AA93" i="64"/>
  <c r="M94" i="64"/>
  <c r="Q94" i="64"/>
  <c r="U94" i="64"/>
  <c r="V94" i="64"/>
  <c r="W94" i="64"/>
  <c r="X94" i="64"/>
  <c r="Y94" i="64"/>
  <c r="Z94" i="64"/>
  <c r="AA94" i="64"/>
  <c r="U95" i="64"/>
  <c r="V95" i="64"/>
  <c r="W95" i="64"/>
  <c r="X95" i="64"/>
  <c r="Y95" i="64"/>
  <c r="Z95" i="64"/>
  <c r="AA95" i="64"/>
  <c r="U96" i="64"/>
  <c r="V96" i="64"/>
  <c r="W96" i="64"/>
  <c r="X96" i="64"/>
  <c r="Y96" i="64"/>
  <c r="Z96" i="64"/>
  <c r="AA96" i="64"/>
  <c r="M97" i="64"/>
  <c r="Q97" i="64"/>
  <c r="U97" i="64"/>
  <c r="V97" i="64"/>
  <c r="W97" i="64"/>
  <c r="X97" i="64"/>
  <c r="Y97" i="64"/>
  <c r="Z97" i="64"/>
  <c r="AA97" i="64"/>
  <c r="U98" i="64"/>
  <c r="V98" i="64"/>
  <c r="W98" i="64"/>
  <c r="X98" i="64"/>
  <c r="Y98" i="64"/>
  <c r="Z98" i="64"/>
  <c r="AA98" i="64"/>
  <c r="U99" i="64"/>
  <c r="V99" i="64"/>
  <c r="W99" i="64"/>
  <c r="X99" i="64"/>
  <c r="Y99" i="64"/>
  <c r="Z99" i="64"/>
  <c r="AA99" i="64"/>
  <c r="M100" i="64"/>
  <c r="Q100" i="64"/>
  <c r="U100" i="64"/>
  <c r="V100" i="64"/>
  <c r="W100" i="64"/>
  <c r="X100" i="64"/>
  <c r="Y100" i="64"/>
  <c r="Z100" i="64"/>
  <c r="AA100" i="64"/>
  <c r="M103" i="64"/>
  <c r="O103" i="64"/>
  <c r="P103" i="64"/>
  <c r="Q103" i="64"/>
  <c r="O104" i="64"/>
  <c r="P104" i="64"/>
  <c r="O105" i="64"/>
  <c r="P105" i="64"/>
  <c r="M106" i="64"/>
  <c r="O106" i="64"/>
  <c r="P106" i="64"/>
  <c r="Q106" i="64"/>
  <c r="O107" i="64"/>
  <c r="P107" i="64"/>
  <c r="O108" i="64"/>
  <c r="P108" i="64"/>
  <c r="M109" i="64"/>
  <c r="O109" i="64"/>
  <c r="P109" i="64"/>
  <c r="Q109" i="64"/>
  <c r="O110" i="64"/>
  <c r="P110" i="64"/>
  <c r="O111" i="64"/>
  <c r="P111" i="64"/>
  <c r="M112" i="64"/>
  <c r="O112" i="64"/>
  <c r="P112" i="64"/>
  <c r="Q112" i="64"/>
  <c r="O113" i="64"/>
  <c r="P113" i="64"/>
  <c r="O114" i="64"/>
  <c r="P114" i="64"/>
  <c r="U114" i="64"/>
  <c r="V114" i="64"/>
  <c r="W114" i="64"/>
  <c r="X114" i="64"/>
  <c r="Y114" i="64"/>
  <c r="Z114" i="64"/>
  <c r="AA114" i="64"/>
  <c r="M115" i="64"/>
  <c r="O115" i="64"/>
  <c r="P115" i="64"/>
  <c r="Q115" i="64"/>
  <c r="O116" i="64"/>
  <c r="P116" i="64"/>
  <c r="S116" i="64"/>
  <c r="T116" i="64"/>
  <c r="W116" i="64"/>
  <c r="X116" i="64"/>
  <c r="Y116" i="64"/>
  <c r="Z116" i="64"/>
  <c r="AA116" i="64"/>
  <c r="O117" i="64"/>
  <c r="P117" i="64"/>
  <c r="S117" i="64"/>
  <c r="T117" i="64"/>
  <c r="M118" i="64"/>
  <c r="O118" i="64"/>
  <c r="P118" i="64"/>
  <c r="Q118" i="64"/>
  <c r="S118" i="64"/>
  <c r="T118" i="64"/>
  <c r="O119" i="64"/>
  <c r="P119" i="64"/>
  <c r="S119" i="64"/>
  <c r="T119" i="64"/>
  <c r="O120" i="64"/>
  <c r="P120" i="64"/>
  <c r="S120" i="64"/>
  <c r="T120" i="64"/>
  <c r="M121" i="64"/>
  <c r="O121" i="64"/>
  <c r="P121" i="64"/>
  <c r="Q121" i="64"/>
  <c r="S121" i="64"/>
  <c r="T121" i="64"/>
  <c r="O122" i="64"/>
  <c r="P122" i="64"/>
  <c r="S122" i="64"/>
  <c r="T122" i="64"/>
  <c r="O123" i="64"/>
  <c r="P123" i="64"/>
  <c r="S123" i="64"/>
  <c r="T123" i="64"/>
  <c r="M124" i="64"/>
  <c r="O124" i="64"/>
  <c r="P124" i="64"/>
  <c r="Q124" i="64"/>
  <c r="S124" i="64"/>
  <c r="T124" i="64"/>
  <c r="O125" i="64"/>
  <c r="P125" i="64"/>
  <c r="S125" i="64"/>
  <c r="T125" i="64"/>
  <c r="O126" i="64"/>
  <c r="P126" i="64"/>
  <c r="S126" i="64"/>
  <c r="T126" i="64"/>
  <c r="M127" i="64"/>
  <c r="O127" i="64"/>
  <c r="P127" i="64"/>
  <c r="Q127" i="64"/>
  <c r="S127" i="64"/>
  <c r="T127" i="64"/>
  <c r="O128" i="64"/>
  <c r="P128" i="64"/>
  <c r="S128" i="64"/>
  <c r="T128" i="64"/>
  <c r="O129" i="64"/>
  <c r="P129" i="64"/>
  <c r="S129" i="64"/>
  <c r="T129" i="64"/>
  <c r="M130" i="64"/>
  <c r="O130" i="64"/>
  <c r="P130" i="64"/>
  <c r="Q130" i="64"/>
  <c r="S130" i="64"/>
  <c r="T130" i="64"/>
  <c r="O147" i="64"/>
  <c r="P147" i="64"/>
  <c r="Q147" i="64"/>
  <c r="R147" i="64"/>
  <c r="S147" i="64"/>
  <c r="T147" i="64"/>
  <c r="U147" i="64"/>
  <c r="V147" i="64"/>
  <c r="W147" i="64"/>
  <c r="O148" i="64"/>
  <c r="P148" i="64"/>
  <c r="Q148" i="64"/>
  <c r="R148" i="64"/>
  <c r="S148" i="64"/>
  <c r="T148" i="64"/>
  <c r="U148" i="64"/>
  <c r="V148" i="64"/>
  <c r="W148" i="64"/>
  <c r="O149" i="64"/>
  <c r="P149" i="64"/>
  <c r="Q149" i="64"/>
  <c r="R149" i="64"/>
  <c r="S149" i="64"/>
  <c r="T149" i="64"/>
  <c r="U149" i="64"/>
  <c r="V149" i="64"/>
  <c r="W149" i="64"/>
  <c r="O150" i="64"/>
  <c r="P150" i="64"/>
  <c r="Q150" i="64"/>
  <c r="R150" i="64"/>
  <c r="S150" i="64"/>
  <c r="T150" i="64"/>
  <c r="U150" i="64"/>
  <c r="V150" i="64"/>
  <c r="W150" i="64"/>
  <c r="O151" i="64"/>
  <c r="P151" i="64"/>
  <c r="Q151" i="64"/>
  <c r="R151" i="64"/>
  <c r="S151" i="64"/>
  <c r="T151" i="64"/>
  <c r="U151" i="64"/>
  <c r="V151" i="64"/>
  <c r="W151" i="64"/>
  <c r="O152" i="64"/>
  <c r="P152" i="64"/>
  <c r="Q152" i="64"/>
  <c r="R152" i="64"/>
  <c r="S152" i="64"/>
  <c r="T152" i="64"/>
  <c r="U152" i="64"/>
  <c r="V152" i="64"/>
  <c r="W152" i="64"/>
  <c r="O153" i="64"/>
  <c r="P153" i="64"/>
  <c r="Q153" i="64"/>
  <c r="R153" i="64"/>
  <c r="S153" i="64"/>
  <c r="T153" i="64"/>
  <c r="U153" i="64"/>
  <c r="V153" i="64"/>
  <c r="W153" i="64"/>
  <c r="O154" i="64"/>
  <c r="P154" i="64"/>
  <c r="Q154" i="64"/>
  <c r="O155" i="64"/>
  <c r="P155" i="64"/>
  <c r="Q155" i="64"/>
  <c r="O156" i="64"/>
  <c r="P156" i="64"/>
  <c r="Q156" i="64"/>
  <c r="O157" i="64"/>
  <c r="P157" i="64"/>
  <c r="Q157" i="64"/>
  <c r="O158" i="64"/>
  <c r="P158" i="64"/>
  <c r="Q158" i="64"/>
  <c r="L170" i="64"/>
  <c r="M170" i="64"/>
  <c r="N170" i="64"/>
  <c r="O170" i="64"/>
  <c r="R170" i="64"/>
  <c r="S170" i="64"/>
  <c r="T170" i="64"/>
  <c r="U170" i="64"/>
  <c r="V170" i="64"/>
  <c r="W170" i="64"/>
  <c r="T172" i="64"/>
  <c r="U172" i="64"/>
  <c r="V172" i="64"/>
  <c r="W172" i="64"/>
  <c r="O179" i="64"/>
  <c r="T179" i="64"/>
  <c r="U179" i="64"/>
  <c r="V179" i="64"/>
  <c r="O180" i="64"/>
  <c r="T180" i="64"/>
  <c r="U180" i="64"/>
  <c r="V180" i="64"/>
  <c r="O181" i="64"/>
  <c r="S181" i="64"/>
  <c r="T181" i="64"/>
  <c r="U181" i="64"/>
  <c r="V181" i="64"/>
  <c r="O182" i="64"/>
  <c r="T182" i="64"/>
  <c r="U182" i="64"/>
  <c r="V182" i="64"/>
  <c r="O183" i="64"/>
  <c r="T183" i="64"/>
  <c r="U183" i="64"/>
  <c r="V183" i="64"/>
  <c r="O184" i="64"/>
  <c r="S184" i="64"/>
  <c r="T184" i="64"/>
  <c r="U184" i="64"/>
  <c r="V184" i="64"/>
  <c r="O185" i="64"/>
  <c r="T185" i="64"/>
  <c r="U185" i="64"/>
  <c r="V185" i="64"/>
  <c r="O186" i="64"/>
  <c r="T186" i="64"/>
  <c r="U186" i="64"/>
  <c r="V186" i="64"/>
  <c r="O187" i="64"/>
  <c r="T187" i="64"/>
  <c r="U187" i="64"/>
  <c r="V187" i="64"/>
  <c r="O188" i="64"/>
  <c r="T188" i="64"/>
  <c r="U188" i="64"/>
  <c r="V188" i="64"/>
  <c r="O189" i="64"/>
  <c r="T189" i="64"/>
  <c r="U189" i="64"/>
  <c r="V189" i="64"/>
  <c r="O190" i="64"/>
  <c r="M191" i="64"/>
  <c r="N191" i="64"/>
  <c r="O191" i="64"/>
  <c r="T191" i="64"/>
  <c r="U191" i="64"/>
  <c r="V191" i="64"/>
  <c r="X191" i="64"/>
  <c r="Y191" i="64"/>
  <c r="O192" i="64"/>
  <c r="T192" i="64"/>
  <c r="U192" i="64"/>
  <c r="V192" i="64"/>
  <c r="X192" i="64"/>
  <c r="Y192" i="64"/>
  <c r="O193" i="64"/>
  <c r="S193" i="64"/>
  <c r="T193" i="64"/>
  <c r="U193" i="64"/>
  <c r="V193" i="64"/>
  <c r="X193" i="64"/>
  <c r="Y193" i="64"/>
  <c r="M194" i="64"/>
  <c r="N194" i="64"/>
  <c r="O194" i="64"/>
  <c r="T194" i="64"/>
  <c r="U194" i="64"/>
  <c r="V194" i="64"/>
  <c r="X194" i="64"/>
  <c r="Y194" i="64"/>
  <c r="M195" i="64"/>
  <c r="N195" i="64"/>
  <c r="O195" i="64"/>
  <c r="T195" i="64"/>
  <c r="U195" i="64"/>
  <c r="V195" i="64"/>
  <c r="X195" i="64"/>
  <c r="Y195" i="64"/>
  <c r="N196" i="64"/>
  <c r="O196" i="64"/>
  <c r="S196" i="64"/>
  <c r="T196" i="64"/>
  <c r="U196" i="64"/>
  <c r="V196" i="64"/>
  <c r="X196" i="64"/>
  <c r="Y196" i="64"/>
  <c r="M197" i="64"/>
  <c r="N197" i="64"/>
  <c r="O197" i="64"/>
  <c r="T197" i="64"/>
  <c r="U197" i="64"/>
  <c r="V197" i="64"/>
  <c r="X197" i="64"/>
  <c r="Y197" i="64"/>
  <c r="M198" i="64"/>
  <c r="N198" i="64"/>
  <c r="O198" i="64"/>
  <c r="T198" i="64"/>
  <c r="U198" i="64"/>
  <c r="V198" i="64"/>
  <c r="X198" i="64"/>
  <c r="Y198" i="64"/>
  <c r="M199" i="64"/>
  <c r="N199" i="64"/>
  <c r="O199" i="64"/>
  <c r="T199" i="64"/>
  <c r="U199" i="64"/>
  <c r="V199" i="64"/>
  <c r="X199" i="64"/>
  <c r="Y199" i="64"/>
  <c r="N200" i="64"/>
  <c r="O200" i="64"/>
  <c r="T200" i="64"/>
  <c r="U200" i="64"/>
  <c r="V200" i="64"/>
  <c r="X200" i="64"/>
  <c r="Y200" i="64"/>
  <c r="M201" i="64"/>
  <c r="N201" i="64"/>
  <c r="O201" i="64"/>
  <c r="T201" i="64"/>
  <c r="U201" i="64"/>
  <c r="V201" i="64"/>
  <c r="X201" i="64"/>
  <c r="Y201" i="64"/>
  <c r="M202" i="64"/>
  <c r="N202" i="64"/>
  <c r="O202" i="64"/>
  <c r="T202" i="64"/>
  <c r="U202" i="64"/>
  <c r="V202" i="64"/>
  <c r="X202" i="64"/>
  <c r="Y202" i="64"/>
  <c r="N203" i="64"/>
  <c r="O203" i="64"/>
  <c r="R203" i="64"/>
  <c r="T203" i="64"/>
  <c r="U203" i="64"/>
  <c r="V203" i="64"/>
  <c r="X203" i="64"/>
  <c r="Y203" i="64"/>
  <c r="N204" i="64"/>
  <c r="O204" i="64"/>
  <c r="R204" i="64"/>
  <c r="T204" i="64"/>
  <c r="U204" i="64"/>
  <c r="V204" i="64"/>
  <c r="X204" i="64"/>
  <c r="Y204" i="64"/>
  <c r="N205" i="64"/>
  <c r="O205" i="64"/>
  <c r="R205" i="64"/>
  <c r="S205" i="64"/>
  <c r="T205" i="64"/>
  <c r="U205" i="64"/>
  <c r="V205" i="64"/>
  <c r="X205" i="64"/>
  <c r="Y205" i="64"/>
  <c r="N206" i="64"/>
  <c r="O206" i="64"/>
  <c r="R206" i="64"/>
  <c r="T206" i="64"/>
  <c r="U206" i="64"/>
  <c r="V206" i="64"/>
  <c r="X206" i="64"/>
  <c r="Y206" i="64"/>
  <c r="M207" i="64"/>
  <c r="N207" i="64"/>
  <c r="O207" i="64"/>
  <c r="R207" i="64"/>
  <c r="T207" i="64"/>
  <c r="U207" i="64"/>
  <c r="V207" i="64"/>
  <c r="X207" i="64"/>
  <c r="Y207" i="64"/>
  <c r="M208" i="64"/>
  <c r="N208" i="64"/>
  <c r="O208" i="64"/>
  <c r="R208" i="64"/>
  <c r="S208" i="64"/>
  <c r="T208" i="64"/>
  <c r="U208" i="64"/>
  <c r="V208" i="64"/>
  <c r="X208" i="64"/>
  <c r="Y208" i="64"/>
  <c r="N209" i="64"/>
  <c r="O209" i="64"/>
  <c r="R209" i="64"/>
  <c r="S209" i="64"/>
  <c r="T209" i="64"/>
  <c r="U209" i="64"/>
  <c r="V209" i="64"/>
  <c r="O210" i="64"/>
  <c r="R210" i="64"/>
  <c r="S210" i="64"/>
  <c r="T210" i="64"/>
  <c r="U210" i="64"/>
  <c r="V210" i="64"/>
  <c r="U211" i="64"/>
  <c r="O217" i="64"/>
  <c r="S212" i="64"/>
  <c r="M217" i="64"/>
  <c r="N217" i="64"/>
  <c r="T212" i="64"/>
  <c r="U212" i="64"/>
  <c r="V212" i="64"/>
  <c r="U214" i="64"/>
  <c r="V214" i="64"/>
  <c r="P217" i="64"/>
  <c r="B22" i="65"/>
  <c r="B23" i="65"/>
  <c r="C23" i="65"/>
  <c r="B24" i="65"/>
  <c r="B26" i="65"/>
  <c r="B27" i="65"/>
  <c r="C27" i="65"/>
  <c r="B28" i="65"/>
  <c r="B30" i="65"/>
  <c r="C30" i="65"/>
  <c r="D30" i="65"/>
  <c r="V9" i="25"/>
  <c r="W9" i="25"/>
  <c r="X9" i="25"/>
  <c r="Y9" i="25"/>
  <c r="V11" i="25"/>
  <c r="J13" i="25"/>
  <c r="V13" i="25"/>
  <c r="W13" i="25"/>
  <c r="X13" i="25"/>
  <c r="Y13" i="25"/>
  <c r="V15" i="25"/>
  <c r="W15" i="25"/>
  <c r="X15" i="25"/>
  <c r="Y15" i="25"/>
  <c r="V16" i="25"/>
  <c r="W16" i="25"/>
  <c r="X16" i="25"/>
  <c r="Y16" i="25"/>
  <c r="V17" i="25"/>
  <c r="W17" i="25"/>
  <c r="X17" i="25"/>
  <c r="Y17" i="25"/>
  <c r="V18" i="25"/>
  <c r="W18" i="25"/>
  <c r="X18" i="25"/>
  <c r="Y18" i="25"/>
  <c r="V19" i="25"/>
  <c r="W19" i="25"/>
  <c r="X19" i="25"/>
  <c r="Y19" i="25"/>
  <c r="V21" i="25"/>
  <c r="W21" i="25"/>
  <c r="X21" i="25"/>
  <c r="Y21" i="25"/>
  <c r="J23" i="25"/>
  <c r="V23" i="25"/>
  <c r="W23" i="25"/>
  <c r="X23" i="25"/>
  <c r="Y23" i="25"/>
  <c r="J24" i="25"/>
  <c r="V24" i="25"/>
  <c r="W24" i="25"/>
  <c r="X24" i="25"/>
  <c r="Y24" i="25"/>
  <c r="V25" i="25"/>
  <c r="W25" i="25"/>
  <c r="X25" i="25"/>
  <c r="Y25" i="25"/>
  <c r="J27" i="25"/>
  <c r="V27" i="25"/>
  <c r="W27" i="25"/>
  <c r="X27" i="25"/>
  <c r="Y27" i="25"/>
  <c r="V29" i="25"/>
  <c r="W29" i="25"/>
  <c r="X29" i="25"/>
  <c r="Y29" i="25"/>
  <c r="V30" i="25"/>
  <c r="W30" i="25"/>
  <c r="X30" i="25"/>
  <c r="Y30" i="25"/>
  <c r="V31" i="25"/>
  <c r="W31" i="25"/>
  <c r="X31" i="25"/>
  <c r="Y31" i="25"/>
  <c r="V32" i="25"/>
  <c r="W32" i="25"/>
  <c r="X32" i="25"/>
  <c r="Y32" i="25"/>
  <c r="V33" i="25"/>
  <c r="W33" i="25"/>
  <c r="X33" i="25"/>
  <c r="Y33" i="25"/>
  <c r="V34" i="25"/>
  <c r="W34" i="25"/>
  <c r="X34" i="25"/>
  <c r="Y34" i="25"/>
  <c r="F36" i="25"/>
  <c r="G36" i="25"/>
  <c r="H36" i="25"/>
  <c r="I36" i="25"/>
  <c r="J36" i="25"/>
  <c r="P36" i="25"/>
  <c r="Q36" i="25"/>
  <c r="R36" i="25"/>
  <c r="S36" i="25"/>
  <c r="C30" i="60"/>
  <c r="C31" i="60"/>
  <c r="C32" i="60"/>
  <c r="C33" i="60"/>
  <c r="C34" i="60"/>
  <c r="C35" i="60"/>
  <c r="C36" i="60"/>
  <c r="C38" i="60"/>
  <c r="G2" i="13"/>
  <c r="H2" i="13"/>
  <c r="G3" i="13"/>
  <c r="H3" i="13"/>
  <c r="G4" i="13"/>
  <c r="H4" i="13"/>
  <c r="G5" i="13"/>
  <c r="H5" i="13"/>
  <c r="G6" i="13"/>
  <c r="H6" i="13"/>
  <c r="G7" i="13"/>
  <c r="H7" i="13"/>
  <c r="G8" i="13"/>
  <c r="H8" i="13"/>
  <c r="G9" i="13"/>
  <c r="H9" i="13"/>
  <c r="G10" i="13"/>
  <c r="H10" i="13"/>
  <c r="G11" i="13"/>
  <c r="H11" i="13"/>
  <c r="G12" i="13"/>
  <c r="H12" i="13"/>
  <c r="G13" i="13"/>
  <c r="H13" i="13"/>
  <c r="G14" i="13"/>
  <c r="H14" i="13"/>
  <c r="G15" i="13"/>
  <c r="H15" i="13"/>
  <c r="G16" i="13"/>
  <c r="H16" i="13"/>
  <c r="G17" i="13"/>
  <c r="H17" i="13"/>
  <c r="G18" i="13"/>
  <c r="H18" i="13"/>
  <c r="G19" i="13"/>
  <c r="H19" i="13"/>
  <c r="G20" i="13"/>
  <c r="H20" i="13"/>
  <c r="G21" i="13"/>
  <c r="H21" i="13"/>
  <c r="G22" i="13"/>
  <c r="H22" i="13"/>
  <c r="G23" i="13"/>
  <c r="H23" i="13"/>
  <c r="G24" i="13"/>
  <c r="H24" i="13"/>
  <c r="G25" i="13"/>
  <c r="H25" i="13"/>
  <c r="G26" i="13"/>
  <c r="H26" i="13"/>
  <c r="G27" i="13"/>
  <c r="H27" i="13"/>
  <c r="G28" i="13"/>
  <c r="H28" i="13"/>
  <c r="G29" i="13"/>
  <c r="H29" i="13"/>
  <c r="G30" i="13"/>
  <c r="H30" i="13"/>
  <c r="G31" i="13"/>
  <c r="H31" i="13"/>
  <c r="G32" i="13"/>
  <c r="H32" i="13"/>
  <c r="G33" i="13"/>
  <c r="H33" i="13"/>
  <c r="G34" i="13"/>
  <c r="H34" i="13"/>
  <c r="G35" i="13"/>
  <c r="H35" i="13"/>
  <c r="G36" i="13"/>
  <c r="H36" i="13"/>
  <c r="G37" i="13"/>
  <c r="H37" i="13"/>
  <c r="G38" i="13"/>
  <c r="H38" i="13"/>
  <c r="G39" i="13"/>
  <c r="H39" i="13"/>
  <c r="G40" i="13"/>
  <c r="H40" i="13"/>
  <c r="G41" i="13"/>
  <c r="H41" i="13"/>
  <c r="G42" i="13"/>
  <c r="H42" i="13"/>
  <c r="G43" i="13"/>
  <c r="H43" i="13"/>
  <c r="G44" i="13"/>
  <c r="H44" i="13"/>
  <c r="G45" i="13"/>
  <c r="H45" i="13"/>
  <c r="G46" i="13"/>
  <c r="H46" i="13"/>
  <c r="G47" i="13"/>
  <c r="H47" i="13"/>
  <c r="G48" i="13"/>
  <c r="H48" i="13"/>
  <c r="G49" i="13"/>
  <c r="H49" i="13"/>
  <c r="G50" i="13"/>
  <c r="H50" i="13"/>
  <c r="G51" i="13"/>
  <c r="H51" i="13"/>
  <c r="G52" i="13"/>
  <c r="H52" i="13"/>
  <c r="G53" i="13"/>
  <c r="H53" i="13"/>
  <c r="G54" i="13"/>
  <c r="H54" i="13"/>
  <c r="G55" i="13"/>
  <c r="H55" i="13"/>
  <c r="G56" i="13"/>
  <c r="H56" i="13"/>
  <c r="G57" i="13"/>
  <c r="H57" i="13"/>
  <c r="G58" i="13"/>
  <c r="H58" i="13"/>
  <c r="G59" i="13"/>
  <c r="H59" i="13"/>
  <c r="G60" i="13"/>
  <c r="H60" i="13"/>
  <c r="G61" i="13"/>
  <c r="H61" i="13"/>
  <c r="G62" i="13"/>
  <c r="H62" i="13"/>
  <c r="G63" i="13"/>
  <c r="H63" i="13"/>
  <c r="G64" i="13"/>
  <c r="H64" i="13"/>
  <c r="G65" i="13"/>
  <c r="H65" i="13"/>
  <c r="G66" i="13"/>
  <c r="H66" i="13"/>
  <c r="G67" i="13"/>
  <c r="H67" i="13"/>
  <c r="G68" i="13"/>
  <c r="H68" i="13"/>
  <c r="G69" i="13"/>
  <c r="H69" i="13"/>
  <c r="G70" i="13"/>
  <c r="H70" i="13"/>
  <c r="G71" i="13"/>
  <c r="H71" i="13"/>
  <c r="G72" i="13"/>
  <c r="H72" i="13"/>
  <c r="G73" i="13"/>
  <c r="H73" i="13"/>
  <c r="G74" i="13"/>
  <c r="H74" i="13"/>
  <c r="G75" i="13"/>
  <c r="H75" i="13"/>
  <c r="G76" i="13"/>
  <c r="H76" i="13"/>
  <c r="G77" i="13"/>
  <c r="H77" i="13"/>
  <c r="G78" i="13"/>
  <c r="H78" i="13"/>
  <c r="G79" i="13"/>
  <c r="H79" i="13"/>
  <c r="G80" i="13"/>
  <c r="H80" i="13"/>
  <c r="G81" i="13"/>
  <c r="H81" i="13"/>
  <c r="G82" i="13"/>
  <c r="H82" i="13"/>
  <c r="G83" i="13"/>
  <c r="H83" i="13"/>
  <c r="G84" i="13"/>
  <c r="H84" i="13"/>
  <c r="G85" i="13"/>
  <c r="H85" i="13"/>
  <c r="G86" i="13"/>
  <c r="H86" i="13"/>
  <c r="G87" i="13"/>
  <c r="H87" i="13"/>
  <c r="G88" i="13"/>
  <c r="H88" i="13"/>
  <c r="G89" i="13"/>
  <c r="H89" i="13"/>
  <c r="G90" i="13"/>
  <c r="H90" i="13"/>
  <c r="G91" i="13"/>
  <c r="H91" i="13"/>
  <c r="G92" i="13"/>
  <c r="H92" i="13"/>
  <c r="G93" i="13"/>
  <c r="H93" i="13"/>
  <c r="G94" i="13"/>
  <c r="H94" i="13"/>
  <c r="G95" i="13"/>
  <c r="H95" i="13"/>
  <c r="G96" i="13"/>
  <c r="H96" i="13"/>
  <c r="G97" i="13"/>
  <c r="H97" i="13"/>
  <c r="G98" i="13"/>
  <c r="H98" i="13"/>
  <c r="G99" i="13"/>
  <c r="H99" i="13"/>
  <c r="G100" i="13"/>
  <c r="H100" i="13"/>
  <c r="G101" i="13"/>
  <c r="H101" i="13"/>
  <c r="G102" i="13"/>
  <c r="H102" i="13"/>
  <c r="G103" i="13"/>
  <c r="H103" i="13"/>
  <c r="G104" i="13"/>
  <c r="H104" i="13"/>
  <c r="G105" i="13"/>
  <c r="H105" i="13"/>
  <c r="G106" i="13"/>
  <c r="H106" i="13"/>
  <c r="G107" i="13"/>
  <c r="H107" i="13"/>
  <c r="G108" i="13"/>
  <c r="H108" i="13"/>
  <c r="G109" i="13"/>
  <c r="H109" i="13"/>
  <c r="G110" i="13"/>
  <c r="H110" i="13"/>
  <c r="G111" i="13"/>
  <c r="H111" i="13"/>
  <c r="G112" i="13"/>
  <c r="H112" i="13"/>
  <c r="G113" i="13"/>
  <c r="H113" i="13"/>
  <c r="G114" i="13"/>
  <c r="H114" i="13"/>
  <c r="G115" i="13"/>
  <c r="H115" i="13"/>
  <c r="G116" i="13"/>
  <c r="H116" i="13"/>
  <c r="G117" i="13"/>
  <c r="H117" i="13"/>
  <c r="G118" i="13"/>
  <c r="H118" i="13"/>
  <c r="G119" i="13"/>
  <c r="H119" i="13"/>
  <c r="G120" i="13"/>
  <c r="H120" i="13"/>
  <c r="G121" i="13"/>
  <c r="H121" i="13"/>
  <c r="G122" i="13"/>
  <c r="H122" i="13"/>
  <c r="G123" i="13"/>
  <c r="H123" i="13"/>
  <c r="G124" i="13"/>
  <c r="H124" i="13"/>
  <c r="G125" i="13"/>
  <c r="H125" i="13"/>
  <c r="G126" i="13"/>
  <c r="H126" i="13"/>
  <c r="G127" i="13"/>
  <c r="H127" i="13"/>
  <c r="G128" i="13"/>
  <c r="H128" i="13"/>
  <c r="G129" i="13"/>
  <c r="H129" i="13"/>
  <c r="G130" i="13"/>
  <c r="H130" i="13"/>
  <c r="G131" i="13"/>
  <c r="H131" i="13"/>
  <c r="G132" i="13"/>
  <c r="H132" i="13"/>
  <c r="G133" i="13"/>
  <c r="H133" i="13"/>
  <c r="G134" i="13"/>
  <c r="H134" i="13"/>
  <c r="G135" i="13"/>
  <c r="H135" i="13"/>
  <c r="G136" i="13"/>
  <c r="H136" i="13"/>
  <c r="G137" i="13"/>
  <c r="H137" i="13"/>
  <c r="G138" i="13"/>
  <c r="H138" i="13"/>
  <c r="G139" i="13"/>
  <c r="H139" i="13"/>
  <c r="G140" i="13"/>
  <c r="H140" i="13"/>
  <c r="G141" i="13"/>
  <c r="H141" i="13"/>
  <c r="G142" i="13"/>
  <c r="H142" i="13"/>
  <c r="G143" i="13"/>
  <c r="H143" i="13"/>
  <c r="G144" i="13"/>
  <c r="H144" i="13"/>
  <c r="G145" i="13"/>
  <c r="H145" i="13"/>
  <c r="G146" i="13"/>
  <c r="H146" i="13"/>
  <c r="G147" i="13"/>
  <c r="H147" i="13"/>
  <c r="G148" i="13"/>
  <c r="H148" i="13"/>
  <c r="G149" i="13"/>
  <c r="H149" i="13"/>
  <c r="G150" i="13"/>
  <c r="H150" i="13"/>
  <c r="G151" i="13"/>
  <c r="H151" i="13"/>
  <c r="G152" i="13"/>
  <c r="H152" i="13"/>
  <c r="G153" i="13"/>
  <c r="H153" i="13"/>
  <c r="G154" i="13"/>
  <c r="H154" i="13"/>
  <c r="G155" i="13"/>
  <c r="H155" i="13"/>
  <c r="G156" i="13"/>
  <c r="H156" i="13"/>
  <c r="G157" i="13"/>
  <c r="H157" i="13"/>
  <c r="G158" i="13"/>
  <c r="H158" i="13"/>
  <c r="G159" i="13"/>
  <c r="H159" i="13"/>
  <c r="G160" i="13"/>
  <c r="H160" i="13"/>
  <c r="G161" i="13"/>
  <c r="H161" i="13"/>
  <c r="G162" i="13"/>
  <c r="H162" i="13"/>
  <c r="G163" i="13"/>
  <c r="H163" i="13"/>
  <c r="G164" i="13"/>
  <c r="H164" i="13"/>
  <c r="G165" i="13"/>
  <c r="H165" i="13"/>
  <c r="G166" i="13"/>
  <c r="H166" i="13"/>
  <c r="G167" i="13"/>
  <c r="H167" i="13"/>
  <c r="G168" i="13"/>
  <c r="H168" i="13"/>
  <c r="G169" i="13"/>
  <c r="H169" i="13"/>
  <c r="G170" i="13"/>
  <c r="H170" i="13"/>
  <c r="G171" i="13"/>
  <c r="H171" i="13"/>
  <c r="G172" i="13"/>
  <c r="H172" i="13"/>
  <c r="G173" i="13"/>
  <c r="H173" i="13"/>
  <c r="G174" i="13"/>
  <c r="H174" i="13"/>
  <c r="G175" i="13"/>
  <c r="H175" i="13"/>
  <c r="G176" i="13"/>
  <c r="H176" i="13"/>
  <c r="G177" i="13"/>
  <c r="H177" i="13"/>
  <c r="G178" i="13"/>
  <c r="H178" i="13"/>
  <c r="G179" i="13"/>
  <c r="H179" i="13"/>
  <c r="G180" i="13"/>
  <c r="H180" i="13"/>
  <c r="G181" i="13"/>
  <c r="H181" i="13"/>
  <c r="G182" i="13"/>
  <c r="H182" i="13"/>
  <c r="G183" i="13"/>
  <c r="H183" i="13"/>
  <c r="G184" i="13"/>
  <c r="H184" i="13"/>
  <c r="G185" i="13"/>
  <c r="H185" i="13"/>
  <c r="G186" i="13"/>
  <c r="H186" i="13"/>
  <c r="G187" i="13"/>
  <c r="H187" i="13"/>
  <c r="G188" i="13"/>
  <c r="H188" i="13"/>
  <c r="G189" i="13"/>
  <c r="H189" i="13"/>
  <c r="G190" i="13"/>
  <c r="H190" i="13"/>
  <c r="G191" i="13"/>
  <c r="H191" i="13"/>
  <c r="G192" i="13"/>
  <c r="H192" i="13"/>
  <c r="G193" i="13"/>
  <c r="H193" i="13"/>
  <c r="G194" i="13"/>
  <c r="H194" i="13"/>
  <c r="G195" i="13"/>
  <c r="H195" i="13"/>
  <c r="G196" i="13"/>
  <c r="H196" i="13"/>
  <c r="G197" i="13"/>
  <c r="H197" i="13"/>
  <c r="G198" i="13"/>
  <c r="H198" i="13"/>
  <c r="G199" i="13"/>
  <c r="H199" i="13"/>
  <c r="G200" i="13"/>
  <c r="H200" i="13"/>
  <c r="G201" i="13"/>
  <c r="H201" i="13"/>
  <c r="G202" i="13"/>
  <c r="H202" i="13"/>
  <c r="G203" i="13"/>
  <c r="H203" i="13"/>
  <c r="G204" i="13"/>
  <c r="H204" i="13"/>
  <c r="G205" i="13"/>
  <c r="H205" i="13"/>
  <c r="G206" i="13"/>
  <c r="H206" i="13"/>
  <c r="G207" i="13"/>
  <c r="H207" i="13"/>
  <c r="G208" i="13"/>
  <c r="H208" i="13"/>
  <c r="G209" i="13"/>
  <c r="H209" i="13"/>
  <c r="G210" i="13"/>
  <c r="H210" i="13"/>
  <c r="G211" i="13"/>
  <c r="H211" i="13"/>
  <c r="G212" i="13"/>
  <c r="H212" i="13"/>
  <c r="G213" i="13"/>
  <c r="H213" i="13"/>
  <c r="G214" i="13"/>
  <c r="H214" i="13"/>
  <c r="G215" i="13"/>
  <c r="H215" i="13"/>
  <c r="G216" i="13"/>
  <c r="H216" i="13"/>
  <c r="G217" i="13"/>
  <c r="H217" i="13"/>
  <c r="G218" i="13"/>
  <c r="H218" i="13"/>
  <c r="G219" i="13"/>
  <c r="H219" i="13"/>
  <c r="G220" i="13"/>
  <c r="H220" i="13"/>
  <c r="G221" i="13"/>
  <c r="H221" i="13"/>
  <c r="G222" i="13"/>
  <c r="H222" i="13"/>
  <c r="G223" i="13"/>
  <c r="H223" i="13"/>
  <c r="G224" i="13"/>
  <c r="H224" i="13"/>
  <c r="G225" i="13"/>
  <c r="H225" i="13"/>
  <c r="G226" i="13"/>
  <c r="H226" i="13"/>
  <c r="G227" i="13"/>
  <c r="H227" i="13"/>
  <c r="G228" i="13"/>
  <c r="H228" i="13"/>
  <c r="G229" i="13"/>
  <c r="H229" i="13"/>
  <c r="G230" i="13"/>
  <c r="H230" i="13"/>
  <c r="G231" i="13"/>
  <c r="H231" i="13"/>
  <c r="G232" i="13"/>
  <c r="H232" i="13"/>
  <c r="G233" i="13"/>
  <c r="H233" i="13"/>
  <c r="G234" i="13"/>
  <c r="H234" i="13"/>
  <c r="G235" i="13"/>
  <c r="H235" i="13"/>
  <c r="G236" i="13"/>
  <c r="H236" i="13"/>
  <c r="G237" i="13"/>
  <c r="H237" i="13"/>
  <c r="G238" i="13"/>
  <c r="H238" i="13"/>
  <c r="G239" i="13"/>
  <c r="H239" i="13"/>
  <c r="G240" i="13"/>
  <c r="H240" i="13"/>
  <c r="G241" i="13"/>
  <c r="H241" i="13"/>
  <c r="G242" i="13"/>
  <c r="H242" i="13"/>
  <c r="G243" i="13"/>
  <c r="H243" i="13"/>
  <c r="G244" i="13"/>
  <c r="H244" i="13"/>
  <c r="G245" i="13"/>
  <c r="H245" i="13"/>
  <c r="G246" i="13"/>
  <c r="H246" i="13"/>
  <c r="G247" i="13"/>
  <c r="H247" i="13"/>
  <c r="G248" i="13"/>
  <c r="H248" i="13"/>
  <c r="G249" i="13"/>
  <c r="H249" i="13"/>
  <c r="G250" i="13"/>
  <c r="H250" i="13"/>
  <c r="G251" i="13"/>
  <c r="H251" i="13"/>
  <c r="G252" i="13"/>
  <c r="H252" i="13"/>
  <c r="GQ115" i="1"/>
  <c r="GP115" i="1"/>
  <c r="GQ44" i="1"/>
  <c r="GP44" i="1"/>
  <c r="GQ43" i="1"/>
  <c r="GP43" i="1"/>
  <c r="GQ42" i="1"/>
  <c r="GP42" i="1"/>
  <c r="GQ41" i="1"/>
  <c r="GP41" i="1"/>
  <c r="GQ40" i="1"/>
  <c r="GP40" i="1"/>
  <c r="GQ39" i="1"/>
  <c r="GP39" i="1"/>
  <c r="GQ38" i="1"/>
  <c r="GP38" i="1"/>
  <c r="GQ37" i="1"/>
  <c r="GP37" i="1"/>
  <c r="GQ36" i="1"/>
  <c r="GP36" i="1"/>
  <c r="GQ35" i="1"/>
  <c r="GP35" i="1"/>
  <c r="GQ34" i="1"/>
  <c r="GP34" i="1"/>
  <c r="GQ33" i="1"/>
  <c r="GP33" i="1"/>
  <c r="GQ32" i="1"/>
  <c r="GP32" i="1"/>
  <c r="GQ31" i="1"/>
  <c r="GP31" i="1"/>
  <c r="GQ30" i="1"/>
  <c r="GP30" i="1"/>
  <c r="GQ29" i="1"/>
  <c r="GP29" i="1"/>
  <c r="GQ28" i="1"/>
  <c r="GP28" i="1"/>
  <c r="GQ27" i="1"/>
  <c r="GP27" i="1"/>
  <c r="GQ26" i="1"/>
  <c r="GQ25" i="1"/>
  <c r="GQ24" i="1"/>
  <c r="GP24" i="1"/>
  <c r="GQ23" i="1"/>
  <c r="GP23" i="1"/>
  <c r="GQ22" i="1"/>
  <c r="GP22" i="1"/>
  <c r="GR17" i="1"/>
  <c r="GS21" i="1"/>
  <c r="GQ21" i="1"/>
  <c r="GP21" i="1"/>
  <c r="GS16" i="1"/>
  <c r="GS20" i="1"/>
  <c r="GQ20" i="1"/>
  <c r="GP20" i="1"/>
  <c r="GQ12" i="1"/>
  <c r="GQ13" i="1"/>
  <c r="GQ14" i="1"/>
  <c r="GQ15" i="1"/>
  <c r="GV15" i="1"/>
  <c r="GW19" i="1"/>
  <c r="GY19" i="1"/>
  <c r="GX19" i="1"/>
  <c r="GT15" i="1"/>
  <c r="GU19" i="1"/>
  <c r="GR15" i="1"/>
  <c r="GS19" i="1"/>
  <c r="GQ19" i="1"/>
  <c r="GP19" i="1"/>
  <c r="GQ18" i="1"/>
  <c r="GP18" i="1"/>
  <c r="GQ17" i="1"/>
  <c r="GP17" i="1"/>
  <c r="GR16" i="1"/>
  <c r="GP12" i="1"/>
  <c r="GP13" i="1"/>
  <c r="GP14" i="1"/>
  <c r="GP15" i="1"/>
  <c r="GZ15" i="1"/>
  <c r="HA15" i="1"/>
  <c r="GY15" i="1"/>
  <c r="GX15" i="1"/>
  <c r="GQ11" i="1"/>
  <c r="GP11" i="1"/>
  <c r="GQ10" i="1"/>
  <c r="GP10" i="1"/>
  <c r="GQ9" i="1"/>
  <c r="GP9" i="1"/>
  <c r="GQ8" i="1"/>
  <c r="GP8" i="1"/>
  <c r="GQ7" i="1"/>
  <c r="GP7" i="1"/>
  <c r="GQ6" i="1"/>
  <c r="GP6" i="1"/>
  <c r="GQ5" i="1"/>
  <c r="GP5" i="1"/>
  <c r="GQ4" i="1"/>
  <c r="GP4" i="1"/>
  <c r="GQ3" i="1"/>
  <c r="GQ16" i="1"/>
  <c r="GP3" i="1"/>
</calcChain>
</file>

<file path=xl/comments1.xml><?xml version="1.0" encoding="utf-8"?>
<comments xmlns="http://schemas.openxmlformats.org/spreadsheetml/2006/main">
  <authors>
    <author>A satisfied Microsoft Office user</author>
    <author>bill walker</author>
    <author>William I. Walker</author>
    <author>Bill Walker</author>
  </authors>
  <commentList>
    <comment ref="BO3" authorId="0">
      <text>
        <r>
          <rPr>
            <sz val="9"/>
            <color indexed="81"/>
            <rFont val="Geneva"/>
          </rPr>
          <t>LTD</t>
        </r>
      </text>
    </comment>
    <comment ref="BO4" authorId="0">
      <text>
        <r>
          <rPr>
            <sz val="9"/>
            <color indexed="81"/>
            <rFont val="Geneva"/>
          </rPr>
          <t>LTD</t>
        </r>
      </text>
    </comment>
    <comment ref="BO5" authorId="0">
      <text>
        <r>
          <rPr>
            <sz val="9"/>
            <color indexed="81"/>
            <rFont val="Geneva"/>
          </rPr>
          <t>LTD</t>
        </r>
      </text>
    </comment>
    <comment ref="BO6" authorId="0">
      <text>
        <r>
          <rPr>
            <sz val="9"/>
            <color indexed="81"/>
            <rFont val="Geneva"/>
          </rPr>
          <t>LTD</t>
        </r>
      </text>
    </comment>
    <comment ref="AO14" authorId="1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audit adjustment + $999
</t>
        </r>
      </text>
    </comment>
    <comment ref="AN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AO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AP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AQ17" authorId="2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Income per share 
</t>
        </r>
      </text>
    </comment>
    <comment ref="BL40" authorId="0">
      <text>
        <r>
          <rPr>
            <sz val="9"/>
            <color indexed="81"/>
            <rFont val="Geneva"/>
          </rPr>
          <t>LTD</t>
        </r>
      </text>
    </comment>
    <comment ref="BL41" authorId="0">
      <text>
        <r>
          <rPr>
            <sz val="9"/>
            <color indexed="81"/>
            <rFont val="Geneva"/>
          </rPr>
          <t>LTD</t>
        </r>
      </text>
    </comment>
    <comment ref="BL42" authorId="0">
      <text>
        <r>
          <rPr>
            <sz val="9"/>
            <color indexed="81"/>
            <rFont val="Geneva"/>
          </rPr>
          <t>LTD</t>
        </r>
      </text>
    </comment>
    <comment ref="BL43" authorId="0">
      <text>
        <r>
          <rPr>
            <sz val="9"/>
            <color indexed="81"/>
            <rFont val="Geneva"/>
          </rPr>
          <t>LTD</t>
        </r>
      </text>
    </comment>
    <comment ref="H210" authorId="3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 satisfied Microsoft Office user</author>
    <author>William I. Walker</author>
    <author>Bill Walker</author>
  </authors>
  <commentList>
    <comment ref="U5" authorId="0">
      <text>
        <r>
          <rPr>
            <sz val="9"/>
            <color indexed="81"/>
            <rFont val="Geneva"/>
          </rPr>
          <t xml:space="preserve">OK
</t>
        </r>
      </text>
    </comment>
    <comment ref="U6" authorId="0">
      <text>
        <r>
          <rPr>
            <sz val="9"/>
            <color indexed="81"/>
            <rFont val="Geneva"/>
          </rPr>
          <t xml:space="preserve">OK
</t>
        </r>
      </text>
    </comment>
    <comment ref="U7" authorId="0">
      <text>
        <r>
          <rPr>
            <sz val="9"/>
            <color indexed="81"/>
            <rFont val="Geneva"/>
          </rPr>
          <t>ok</t>
        </r>
      </text>
    </comment>
    <comment ref="U9" authorId="0">
      <text>
        <r>
          <rPr>
            <sz val="9"/>
            <color indexed="81"/>
            <rFont val="Geneva"/>
          </rPr>
          <t xml:space="preserve">OK
</t>
        </r>
      </text>
    </comment>
    <comment ref="U10" authorId="0">
      <text>
        <r>
          <rPr>
            <sz val="9"/>
            <color indexed="81"/>
            <rFont val="Geneva"/>
          </rPr>
          <t xml:space="preserve">ok
</t>
        </r>
      </text>
    </comment>
    <comment ref="U14" authorId="0">
      <text>
        <r>
          <rPr>
            <sz val="9"/>
            <color indexed="81"/>
            <rFont val="Geneva"/>
          </rPr>
          <t>ok</t>
        </r>
      </text>
    </comment>
    <comment ref="AE45" authorId="1">
      <text>
        <r>
          <rPr>
            <b/>
            <sz val="9"/>
            <color indexed="81"/>
            <rFont val="Geneva"/>
          </rPr>
          <t>William I. Walker:</t>
        </r>
        <r>
          <rPr>
            <sz val="9"/>
            <color indexed="81"/>
            <rFont val="Geneva"/>
          </rPr>
          <t xml:space="preserve">
11413
</t>
        </r>
      </text>
    </comment>
    <comment ref="AJ77" authorId="2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changed base from 70K to 60k
</t>
        </r>
      </text>
    </comment>
    <comment ref="AM77" authorId="2">
      <text>
        <r>
          <rPr>
            <b/>
            <sz val="9"/>
            <color indexed="81"/>
            <rFont val="Geneva"/>
          </rPr>
          <t>Bill Walker: New base cost of $60,000/mo</t>
        </r>
        <r>
          <rPr>
            <sz val="9"/>
            <color indexed="81"/>
            <rFont val="Geneva"/>
          </rPr>
          <t xml:space="preserve">
</t>
        </r>
      </text>
    </comment>
    <comment ref="AK98" authorId="2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In December, we reversed France’s intercompany invoices from January through November in the amount of $163,305.42. </t>
        </r>
      </text>
    </comment>
  </commentList>
</comments>
</file>

<file path=xl/comments3.xml><?xml version="1.0" encoding="utf-8"?>
<comments xmlns="http://schemas.openxmlformats.org/spreadsheetml/2006/main">
  <authors>
    <author>Bill Walker</author>
  </authors>
  <commentList>
    <comment ref="E50" authorId="0">
      <text>
        <r>
          <rPr>
            <b/>
            <sz val="9"/>
            <color indexed="81"/>
            <rFont val="Geneva"/>
          </rPr>
          <t>Bill Walker:</t>
        </r>
        <r>
          <rPr>
            <sz val="9"/>
            <color indexed="81"/>
            <rFont val="Geneva"/>
          </rPr>
          <t xml:space="preserve">
Is this the total supplier invoicing for the year?
</t>
        </r>
      </text>
    </comment>
  </commentList>
</comments>
</file>

<file path=xl/comments4.xml><?xml version="1.0" encoding="utf-8"?>
<comments xmlns="http://schemas.openxmlformats.org/spreadsheetml/2006/main">
  <authors>
    <author>A satisfied Microsoft Office user</author>
  </authors>
  <commentList>
    <comment ref="P179" authorId="0">
      <text>
        <r>
          <rPr>
            <sz val="9"/>
            <color indexed="81"/>
            <rFont val="Geneva"/>
          </rPr>
          <t xml:space="preserve">OK
</t>
        </r>
      </text>
    </comment>
    <comment ref="P180" authorId="0">
      <text>
        <r>
          <rPr>
            <sz val="9"/>
            <color indexed="81"/>
            <rFont val="Geneva"/>
          </rPr>
          <t xml:space="preserve">OK
</t>
        </r>
      </text>
    </comment>
    <comment ref="P181" authorId="0">
      <text>
        <r>
          <rPr>
            <sz val="9"/>
            <color indexed="81"/>
            <rFont val="Geneva"/>
          </rPr>
          <t>ok</t>
        </r>
      </text>
    </comment>
    <comment ref="P183" authorId="0">
      <text>
        <r>
          <rPr>
            <sz val="9"/>
            <color indexed="81"/>
            <rFont val="Geneva"/>
          </rPr>
          <t xml:space="preserve">OK
</t>
        </r>
      </text>
    </comment>
    <comment ref="P184" authorId="0">
      <text>
        <r>
          <rPr>
            <sz val="9"/>
            <color indexed="81"/>
            <rFont val="Geneva"/>
          </rPr>
          <t xml:space="preserve">ok
</t>
        </r>
      </text>
    </comment>
    <comment ref="P188" authorId="0">
      <text>
        <r>
          <rPr>
            <sz val="9"/>
            <color indexed="81"/>
            <rFont val="Geneva"/>
          </rPr>
          <t>ok</t>
        </r>
      </text>
    </comment>
  </commentList>
</comments>
</file>

<file path=xl/sharedStrings.xml><?xml version="1.0" encoding="utf-8"?>
<sst xmlns="http://schemas.openxmlformats.org/spreadsheetml/2006/main" count="3199" uniqueCount="1631">
  <si>
    <t>Group Sales</t>
  </si>
  <si>
    <t xml:space="preserve">Feb 2011 RY </t>
  </si>
  <si>
    <t>Other</t>
  </si>
  <si>
    <t>Dollar</t>
  </si>
  <si>
    <t>Ventes analyseurs</t>
  </si>
  <si>
    <t>70752800</t>
  </si>
  <si>
    <t>Ventes Analyseurs CEE</t>
  </si>
  <si>
    <t>70755000</t>
  </si>
  <si>
    <t>12 Month Rolling Profit  (excludes UK data)</t>
  </si>
  <si>
    <t>Office Supplies</t>
  </si>
  <si>
    <t xml:space="preserve">∆  12 Month rolling </t>
  </si>
  <si>
    <t xml:space="preserve">Selling, general and administrative </t>
  </si>
  <si>
    <t>1998 Team</t>
  </si>
  <si>
    <t>1999 Team</t>
  </si>
  <si>
    <t>Location HCEE</t>
  </si>
  <si>
    <t>01/02 Solde €</t>
  </si>
  <si>
    <t>Subscription rental loads</t>
  </si>
  <si>
    <t>Sales - Rental Field Wo</t>
  </si>
  <si>
    <t>rk</t>
  </si>
  <si>
    <t>Sales - Equipment</t>
  </si>
  <si>
    <t>Interco Sales - Expense</t>
  </si>
  <si>
    <t>Items</t>
  </si>
  <si>
    <t>Interco Sales - Capital</t>
  </si>
  <si>
    <t>Interest Income</t>
  </si>
  <si>
    <t>Other Income</t>
  </si>
  <si>
    <t>Gain (Loss) on Disposal</t>
  </si>
  <si>
    <t>Sales - WIP</t>
  </si>
  <si>
    <t>Palatine ES Sales</t>
  </si>
  <si>
    <t>Sales - Source</t>
  </si>
  <si>
    <t>Sales - Rental Sales</t>
  </si>
  <si>
    <t>Transferts de charges exploitation</t>
  </si>
  <si>
    <t>79</t>
  </si>
  <si>
    <t>Abonnement Provisions/Amortissement</t>
  </si>
  <si>
    <t>VAT collected with 19,6% on Flow</t>
  </si>
  <si>
    <t>Déplacement Laurent Bessette</t>
  </si>
  <si>
    <t>2000 Team</t>
  </si>
  <si>
    <t>2001 Team</t>
  </si>
  <si>
    <t>1998 Group</t>
  </si>
  <si>
    <t>1999 Group</t>
  </si>
  <si>
    <t>2000 Group</t>
  </si>
  <si>
    <t xml:space="preserve">2001 Group </t>
  </si>
  <si>
    <t>2001 Group</t>
  </si>
  <si>
    <t>*** Autres services extérieurs</t>
  </si>
  <si>
    <t>*** Services extérieurs</t>
  </si>
  <si>
    <t>62260000</t>
  </si>
  <si>
    <t>Amort. Immobilisations incorporelles</t>
  </si>
  <si>
    <t>Amortissement Mat. Industriel FR</t>
  </si>
  <si>
    <t xml:space="preserve"> Measurements Ground Hcee</t>
  </si>
  <si>
    <t xml:space="preserve"> Measurements Ground The EEC</t>
  </si>
  <si>
    <t>Rental</t>
  </si>
  <si>
    <t>Rental The EEC</t>
  </si>
  <si>
    <t>Achats Etudes/prestations services</t>
  </si>
  <si>
    <t>63100000</t>
  </si>
  <si>
    <t>Admin. Impôts (impôts, taxes ...)</t>
  </si>
  <si>
    <t>67802900</t>
  </si>
  <si>
    <t xml:space="preserve">EXPENSE ADVANCES </t>
  </si>
  <si>
    <t xml:space="preserve">TOTAL CURRENT ASSETS </t>
  </si>
  <si>
    <t>Month Deprecation</t>
  </si>
  <si>
    <t xml:space="preserve">A/R  </t>
  </si>
  <si>
    <t xml:space="preserve">PREPAID INSURANCE-GENERAL </t>
  </si>
  <si>
    <t>Matériel Industriel IN</t>
  </si>
  <si>
    <t>Sales shifted 10 days</t>
  </si>
  <si>
    <t>LINEST Shifted</t>
  </si>
  <si>
    <t>Sales by line grouped for Regression Analysis</t>
  </si>
  <si>
    <t>France ∆ WIP Sales</t>
  </si>
  <si>
    <t>Rental Sales</t>
  </si>
  <si>
    <t>2005 OVH Charge 163,305.42</t>
  </si>
  <si>
    <t>Fed + State tax
~ 42.5%
Need 17.33%</t>
  </si>
  <si>
    <t>3 Mo Roll
Profit Total</t>
  </si>
  <si>
    <t>12 Mo Roll
Profit Avg</t>
  </si>
  <si>
    <t>Rolling 5 Year</t>
  </si>
  <si>
    <t>Rolling 5 Year
Average Profit</t>
  </si>
  <si>
    <t>Rolling 5 Year
Avg Profit Range</t>
  </si>
  <si>
    <t>Rolling 5 Year
Profit UCL</t>
  </si>
  <si>
    <t>Rolling 5 Year
Profit LCL</t>
  </si>
  <si>
    <t>Rolling 5 year
STD DEV</t>
  </si>
  <si>
    <t>These published 6 Jan 2009 &amp; republished Feb 2010</t>
  </si>
  <si>
    <t>USA Profit w/o Var</t>
  </si>
  <si>
    <t>35% Profit</t>
  </si>
  <si>
    <t>Etat impôts sur les bénéfices</t>
  </si>
  <si>
    <t>44551000</t>
  </si>
  <si>
    <t>Autres Charges exception. Palatine</t>
  </si>
  <si>
    <t>70662700</t>
  </si>
  <si>
    <t>Abonnement Loyer</t>
  </si>
  <si>
    <t>48800300</t>
  </si>
  <si>
    <t>Abonnement charges locatives</t>
  </si>
  <si>
    <t>48800400</t>
  </si>
  <si>
    <t>*** Capital &amp; Reserve</t>
  </si>
  <si>
    <t>Leasehold Improvements</t>
  </si>
  <si>
    <t>Accounts Receivable - France</t>
  </si>
  <si>
    <t>Total Other Assets</t>
  </si>
  <si>
    <t>62515000</t>
  </si>
  <si>
    <t>Services Bancaires et Assimilés</t>
  </si>
  <si>
    <t>Rolling Profit  as % o fSales</t>
  </si>
  <si>
    <t>RENTAL RETURN ON ASSETS</t>
  </si>
  <si>
    <t>RENTAL RETURN ON DEPR ASSETS</t>
  </si>
  <si>
    <t>Denver ES Sales</t>
  </si>
  <si>
    <t xml:space="preserve">ACCRUED UNEMPL TAX (FEDERAL &amp; STATE) </t>
  </si>
  <si>
    <t>OTHER RECEIVABLES</t>
  </si>
  <si>
    <t>TVA à décaisser</t>
  </si>
  <si>
    <t>44562300</t>
  </si>
  <si>
    <t>% (2009)</t>
  </si>
  <si>
    <t>89000000</t>
  </si>
  <si>
    <t>Bilan d'ouverture</t>
  </si>
  <si>
    <t>Amortissement Concessions et droit</t>
  </si>
  <si>
    <t>Déplacement Jean-Philippe Blanloeui</t>
  </si>
  <si>
    <t>Charges constatées d'avance</t>
  </si>
  <si>
    <t>Fluctuation</t>
  </si>
  <si>
    <t>Account</t>
  </si>
  <si>
    <t>credit</t>
  </si>
  <si>
    <t>40800000</t>
  </si>
  <si>
    <t>Fournisseurs - fact. non parvenues</t>
  </si>
  <si>
    <t>95-2004</t>
  </si>
  <si>
    <t>Fixed cost</t>
  </si>
  <si>
    <t xml:space="preserve"> Sales spare Parts and Consumed</t>
  </si>
  <si>
    <t xml:space="preserve"> Sales Parts détach and Conso the EEC</t>
  </si>
  <si>
    <t xml:space="preserve">Projected for </t>
  </si>
  <si>
    <t xml:space="preserve">Audited </t>
  </si>
  <si>
    <t>1-yr Internal Income Growth</t>
  </si>
  <si>
    <t>1-yr Internal Revenue Growth</t>
  </si>
  <si>
    <t>EQUIPMENT-TERM-LOANS---currrent</t>
  </si>
  <si>
    <t>Displacement Jean-Philippe Blanloeui</t>
  </si>
  <si>
    <t xml:space="preserve">Damping Industrial Chechmate France </t>
  </si>
  <si>
    <t>60800000</t>
  </si>
  <si>
    <t>Frais accessoires d'achat</t>
  </si>
  <si>
    <t>60</t>
  </si>
  <si>
    <t>*** Achats</t>
  </si>
  <si>
    <t>61100000</t>
  </si>
  <si>
    <t>Ch. Patronnales s/ CP</t>
  </si>
  <si>
    <t>64590000</t>
  </si>
  <si>
    <t>Cotisation CAVCIC</t>
  </si>
  <si>
    <t>645</t>
  </si>
  <si>
    <t>EFCG Value</t>
  </si>
  <si>
    <t>3 Year Average</t>
  </si>
  <si>
    <t>Redevance crédit-bail mobilier</t>
  </si>
  <si>
    <t>61320000</t>
  </si>
  <si>
    <t>Supplies Maintenance, small équip</t>
  </si>
  <si>
    <t>Maintenance and small équip Palatine</t>
  </si>
  <si>
    <t xml:space="preserve"> Sales analyzers</t>
  </si>
  <si>
    <t xml:space="preserve"> Sales Analyzers The EEC</t>
  </si>
  <si>
    <t>486/480</t>
  </si>
  <si>
    <t>Since Oct 96</t>
  </si>
  <si>
    <t>Long Term</t>
  </si>
  <si>
    <t>Current Part</t>
  </si>
  <si>
    <t>Displacement Laurent Bessette</t>
  </si>
  <si>
    <t>Displacement Najib Mhiri</t>
  </si>
  <si>
    <t>1998 Profit</t>
  </si>
  <si>
    <t>cleanair Acct Name</t>
  </si>
  <si>
    <t>cleanair #</t>
  </si>
  <si>
    <t>Fixed Assets</t>
  </si>
  <si>
    <t>2007 Actual Year (Estimates as of 1/23/08)</t>
  </si>
  <si>
    <t>Published  Jan 2008</t>
  </si>
  <si>
    <t>Published  Jan 2007</t>
  </si>
  <si>
    <t>61220000</t>
  </si>
  <si>
    <t>Rolling 12m 
Profit %</t>
  </si>
  <si>
    <t>R 12 Sales/10</t>
  </si>
  <si>
    <t>INFLATION</t>
  </si>
  <si>
    <t>ADJUSTMENT</t>
  </si>
  <si>
    <t>Calendar</t>
  </si>
  <si>
    <t>Year</t>
  </si>
  <si>
    <t>Inflation</t>
  </si>
  <si>
    <t>Adjustment</t>
  </si>
  <si>
    <t>Phase-out</t>
  </si>
  <si>
    <t>Amount</t>
  </si>
  <si>
    <t> </t>
  </si>
  <si>
    <t>*** Comparable loans &amp; debts</t>
  </si>
  <si>
    <t>maybe bad dept ???</t>
  </si>
  <si>
    <t>*** STOCK-ACCOUNTS</t>
  </si>
  <si>
    <t>Concessions and rights similar</t>
  </si>
  <si>
    <t>*** Immobilisations Corporelles</t>
  </si>
  <si>
    <t>Depreciation ???</t>
  </si>
  <si>
    <t>12 Month Rolling  Increase</t>
  </si>
  <si>
    <t>NET FIXED ASSETS</t>
  </si>
  <si>
    <t>Profit Growth</t>
  </si>
  <si>
    <t>*** Transferts de charges</t>
  </si>
  <si>
    <t>7</t>
  </si>
  <si>
    <t>*** COMPTES DE PRODUITS</t>
  </si>
  <si>
    <t xml:space="preserve"> ***  Exceptional Products</t>
  </si>
  <si>
    <t xml:space="preserve"> Rep/prov risks &amp; loads financ</t>
  </si>
  <si>
    <t>My calculated Share Price</t>
  </si>
  <si>
    <t>Acct calculated share price</t>
  </si>
  <si>
    <t>LTD 1996</t>
  </si>
  <si>
    <t>Profit Formula</t>
  </si>
  <si>
    <t>∆</t>
  </si>
  <si>
    <t>Capital, Lent</t>
  </si>
  <si>
    <t>WITHHELD FEDERAL INC TAX</t>
  </si>
  <si>
    <t xml:space="preserve"> Ground Measurements</t>
  </si>
  <si>
    <t>PRADO Prévoyance</t>
  </si>
  <si>
    <t>43720000</t>
  </si>
  <si>
    <t>CAVCIC</t>
  </si>
  <si>
    <t>43730000</t>
  </si>
  <si>
    <t>CIRRSE</t>
  </si>
  <si>
    <t>43740000</t>
  </si>
  <si>
    <t>ASSEDIC</t>
  </si>
  <si>
    <t>43790000</t>
  </si>
  <si>
    <t>MUTUELLE</t>
  </si>
  <si>
    <t>43</t>
  </si>
  <si>
    <t>Téléphone</t>
  </si>
  <si>
    <t>62700000</t>
  </si>
  <si>
    <t>Diff, Euro</t>
  </si>
  <si>
    <t>Intercompany A/P due From France to USA, EURO</t>
  </si>
  <si>
    <t>Others</t>
  </si>
  <si>
    <t>*** Sécurité Soc.&amp; autres org.</t>
  </si>
  <si>
    <t>44400000</t>
  </si>
  <si>
    <t>Source</t>
  </si>
  <si>
    <t>France Rental + Rent Field + Disposal</t>
  </si>
  <si>
    <t>62720000</t>
  </si>
  <si>
    <t>Commissions &amp; Frais</t>
  </si>
  <si>
    <t>62800000</t>
  </si>
  <si>
    <t>62810000</t>
  </si>
  <si>
    <t>Concours divers</t>
  </si>
  <si>
    <t>62</t>
  </si>
  <si>
    <t>Déplacement Pierre Guillou</t>
  </si>
  <si>
    <t>62600000</t>
  </si>
  <si>
    <t>Poste</t>
  </si>
  <si>
    <t>62600900</t>
  </si>
  <si>
    <t>CAE  – 4 Quarter Rolling Profit</t>
  </si>
  <si>
    <t>CAE  – 8 Quarter Rolling Profit</t>
  </si>
  <si>
    <t>Price per share using EBIT Book avg</t>
  </si>
  <si>
    <t>Earnings</t>
  </si>
  <si>
    <t>Autres impôts et vers.assim</t>
  </si>
  <si>
    <t>60400000</t>
  </si>
  <si>
    <t xml:space="preserve">401K P/R DEDUCTIONS &amp; CONTRIBUTIONS </t>
  </si>
  <si>
    <t>12 m eq Sales</t>
  </si>
  <si>
    <t xml:space="preserve">DEPOSITS </t>
  </si>
  <si>
    <t xml:space="preserve">INTANGIBLE ASSETS </t>
  </si>
  <si>
    <t xml:space="preserve">TOTAL OTHER ASSETS </t>
  </si>
  <si>
    <t>12 Mo Roll Tot</t>
  </si>
  <si>
    <t>LTD 1997</t>
  </si>
  <si>
    <t>TURNOVER £</t>
  </si>
  <si>
    <t>Dollars 100%</t>
  </si>
  <si>
    <t>Displacement Rabiha Ghelamallah</t>
  </si>
  <si>
    <t xml:space="preserve"> ** Rep/prov - Prod financial</t>
  </si>
  <si>
    <t>1999 Profit</t>
  </si>
  <si>
    <t>2000 Profit</t>
  </si>
  <si>
    <t xml:space="preserve"> Sales Express train</t>
  </si>
  <si>
    <t xml:space="preserve"> Sales Express train The EEC</t>
  </si>
  <si>
    <t xml:space="preserve"> Sales Sp Express</t>
  </si>
  <si>
    <t>Eq Profit</t>
  </si>
  <si>
    <t>Equip Profit</t>
  </si>
  <si>
    <t>Profit base on</t>
  </si>
  <si>
    <t>S
x</t>
  </si>
  <si>
    <t>Transport Ventes Express</t>
  </si>
  <si>
    <t>70855280</t>
  </si>
  <si>
    <t>Amortissement Matériel Industriel</t>
  </si>
  <si>
    <t>ACCT</t>
  </si>
  <si>
    <t xml:space="preserve">CASH </t>
  </si>
  <si>
    <t xml:space="preserve"> Port Invoiced Maintenance Service</t>
  </si>
  <si>
    <t>Frais Actes et Contentieux</t>
  </si>
  <si>
    <t>2007 Base</t>
  </si>
  <si>
    <t>2007 Stretch</t>
  </si>
  <si>
    <t>70755280</t>
  </si>
  <si>
    <t>Ventes Express CEE</t>
  </si>
  <si>
    <t>Personnel - Rémunérations dues</t>
  </si>
  <si>
    <t>Profit UCL</t>
  </si>
  <si>
    <t>Droit Douane Achats Ventes</t>
  </si>
  <si>
    <t>60702700</t>
  </si>
  <si>
    <t>Achats HCEE</t>
  </si>
  <si>
    <t>60702800</t>
  </si>
  <si>
    <t>Achats CEE</t>
  </si>
  <si>
    <t>60702900</t>
  </si>
  <si>
    <t>Achats Palatine</t>
  </si>
  <si>
    <t>Subcontracting the EEC</t>
  </si>
  <si>
    <t>Royalty movable leasing</t>
  </si>
  <si>
    <t>411HCEE0</t>
  </si>
  <si>
    <t>Clients Hors CEE</t>
  </si>
  <si>
    <t>44586300</t>
  </si>
  <si>
    <t>TVA ATTENTE DED 19.6%</t>
  </si>
  <si>
    <t>44700000</t>
  </si>
  <si>
    <t>62514000</t>
  </si>
  <si>
    <t xml:space="preserve"> Port Refac Sales The EEC</t>
  </si>
  <si>
    <t>Industrial Matériel from EC except FR</t>
  </si>
  <si>
    <t xml:space="preserve"> Exceptional products of transfer of élém  of credit</t>
  </si>
  <si>
    <t xml:space="preserve">*** Transfers of loads </t>
  </si>
  <si>
    <t>*** REVENUE ACCOUNTS</t>
  </si>
  <si>
    <t xml:space="preserve"> Assessment of opening</t>
  </si>
  <si>
    <t>trial balance error</t>
  </si>
  <si>
    <t>Administrative Transport</t>
  </si>
  <si>
    <t>TOTAL LIAB + EQ</t>
  </si>
  <si>
    <t>62511000</t>
  </si>
  <si>
    <t>Déplacement Farid Maache</t>
  </si>
  <si>
    <t>Déplacement Najib Mhiri</t>
  </si>
  <si>
    <t>62516000</t>
  </si>
  <si>
    <t>Déplacement Rabiha Ghelamallah</t>
  </si>
  <si>
    <t>62517000</t>
  </si>
  <si>
    <t>Déplacement Sylvie Verona</t>
  </si>
  <si>
    <t>62518000</t>
  </si>
  <si>
    <t>44571900</t>
  </si>
  <si>
    <t>TVA Intracom à 19,6%</t>
  </si>
  <si>
    <t>44</t>
  </si>
  <si>
    <t>TVA DED ACH 19.6%</t>
  </si>
  <si>
    <t>44566900</t>
  </si>
  <si>
    <t>TVA DED INTRACOMM</t>
  </si>
  <si>
    <t>44571200</t>
  </si>
  <si>
    <t>TVA COLL 20.6%</t>
  </si>
  <si>
    <t>TVA DED ACH 20.6%</t>
  </si>
  <si>
    <t>44566300</t>
  </si>
  <si>
    <t>*** Loads of the personnel</t>
  </si>
  <si>
    <t>Ventes SP Express CEE</t>
  </si>
  <si>
    <t>70840000</t>
  </si>
  <si>
    <t>TVA ****ne to use more</t>
  </si>
  <si>
    <t xml:space="preserve"> Various products of current management</t>
  </si>
  <si>
    <t xml:space="preserve"> *** Other products gest current</t>
  </si>
  <si>
    <t>Profits of exchange rates</t>
  </si>
  <si>
    <t>Supply Palatine Renting</t>
  </si>
  <si>
    <t>Name</t>
  </si>
  <si>
    <t>Debit</t>
  </si>
  <si>
    <t>non rental P</t>
  </si>
  <si>
    <t>rental P</t>
  </si>
  <si>
    <t>ACCUM DEPR - 2001</t>
  </si>
  <si>
    <t>ACCUM DEPR - INTANGIBLES</t>
  </si>
  <si>
    <t>Cotisations URSSAF</t>
  </si>
  <si>
    <t>64510100</t>
  </si>
  <si>
    <t>21541000</t>
  </si>
  <si>
    <t>Amortissement Mat. Industriel CAE</t>
  </si>
  <si>
    <t>Formation et Séminaires</t>
  </si>
  <si>
    <t>61</t>
  </si>
  <si>
    <t>Remunerations of the Personnel</t>
  </si>
  <si>
    <t>Paid-leaves</t>
  </si>
  <si>
    <t>Bonuses and gratuities</t>
  </si>
  <si>
    <t>76600000</t>
  </si>
  <si>
    <t>Sales UCL</t>
  </si>
  <si>
    <t>Sales LCL</t>
  </si>
  <si>
    <t>95-1998</t>
  </si>
  <si>
    <t>99-2001</t>
  </si>
  <si>
    <t xml:space="preserve">ACCRUED EXPENSES - MISC. </t>
  </si>
  <si>
    <t>WITHHELD-CO-INCOME-TAX</t>
  </si>
  <si>
    <t>Profit LCL</t>
  </si>
  <si>
    <t>Sales Range</t>
  </si>
  <si>
    <t>Loyer Bureau</t>
  </si>
  <si>
    <t>61380000</t>
  </si>
  <si>
    <t>Gross Revenues</t>
  </si>
  <si>
    <t>Assets</t>
  </si>
  <si>
    <t>Monthly</t>
  </si>
  <si>
    <t>Vehicle</t>
  </si>
  <si>
    <t>Facilities Rent</t>
  </si>
  <si>
    <t>General Insurance</t>
  </si>
  <si>
    <t>Building Main</t>
  </si>
  <si>
    <t>C &amp; C</t>
  </si>
  <si>
    <t>64750000</t>
  </si>
  <si>
    <t>Administrative supplies</t>
  </si>
  <si>
    <t>Profit avg</t>
  </si>
  <si>
    <t>Payroll Tax</t>
  </si>
  <si>
    <t>Yearly</t>
  </si>
  <si>
    <t>Clean Air Engineering 1999/2000/2001 Comparison</t>
  </si>
  <si>
    <t>Location de véhicule (Longue Durée)</t>
  </si>
  <si>
    <t>61400000</t>
  </si>
  <si>
    <t>Dividend Paid for Estimated Taxes</t>
  </si>
  <si>
    <t>Sous traitance CEE</t>
  </si>
  <si>
    <t>Subscription Rent</t>
  </si>
  <si>
    <t>Amortization of Intangable Fixed Assets</t>
  </si>
  <si>
    <t>other provisioning</t>
  </si>
  <si>
    <t>English</t>
  </si>
  <si>
    <t>USA Acct Name</t>
  </si>
  <si>
    <t xml:space="preserve"> Loans and other credit </t>
  </si>
  <si>
    <r>
      <t xml:space="preserve">Carry forward ( debit is a </t>
    </r>
    <r>
      <rPr>
        <sz val="12"/>
        <color indexed="10"/>
        <rFont val="Geneva"/>
      </rPr>
      <t>loss</t>
    </r>
    <r>
      <rPr>
        <sz val="12"/>
        <rFont val="Geneva"/>
      </rPr>
      <t xml:space="preserve"> )</t>
    </r>
  </si>
  <si>
    <t>Transp Ventes Express CEE</t>
  </si>
  <si>
    <t>70860000</t>
  </si>
  <si>
    <t>Port Refac Location</t>
  </si>
  <si>
    <t>70862800</t>
  </si>
  <si>
    <t>Associés - Comptes courants</t>
  </si>
  <si>
    <t xml:space="preserve">
12 Month Rolling Increase</t>
  </si>
  <si>
    <t>46700000</t>
  </si>
  <si>
    <t>63</t>
  </si>
  <si>
    <t>*** Impôts, taxes, vers. assimilés</t>
  </si>
  <si>
    <t>plus INTEREST paid last 12 months</t>
  </si>
  <si>
    <t>Value EBIT</t>
  </si>
  <si>
    <t>Value BOOK</t>
  </si>
  <si>
    <t>Value of Equity AVERAGE</t>
  </si>
  <si>
    <t>*** Rep. /amort. &amp; provisions</t>
  </si>
  <si>
    <t>79100000</t>
  </si>
  <si>
    <t>62512000</t>
  </si>
  <si>
    <t>Déplacement Gérard Tabary</t>
  </si>
  <si>
    <t>CURRENT ASSETS</t>
  </si>
  <si>
    <t xml:space="preserve"> Consumption Gas The EEC</t>
  </si>
  <si>
    <t xml:space="preserve"> Repair</t>
  </si>
  <si>
    <t xml:space="preserve"> Repair The EEC</t>
  </si>
  <si>
    <t>Maintenance and repairs</t>
  </si>
  <si>
    <t>PREPAIDS</t>
  </si>
  <si>
    <t>Annualized
 24 Month
 Profit</t>
  </si>
  <si>
    <t>Share Price</t>
  </si>
  <si>
    <t xml:space="preserve"> Chargeback Travel The EEC</t>
  </si>
  <si>
    <t>time of booking</t>
  </si>
  <si>
    <t>CURRENT LIABILITES</t>
  </si>
  <si>
    <t>Based on USD due</t>
  </si>
  <si>
    <t>Based on ff @</t>
  </si>
  <si>
    <t>&lt;0&amp;</t>
  </si>
  <si>
    <t>Jan</t>
  </si>
  <si>
    <t>s</t>
  </si>
  <si>
    <t>51213000</t>
  </si>
  <si>
    <t>SMCUSD</t>
  </si>
  <si>
    <t>Provisions Assurances RCP</t>
  </si>
  <si>
    <t>48860200</t>
  </si>
  <si>
    <t>Provisions Taxe Professionnelle</t>
  </si>
  <si>
    <t>48</t>
  </si>
  <si>
    <t>Associated DC: CAE</t>
  </si>
  <si>
    <t>*** Group companies</t>
  </si>
  <si>
    <t>Not refacturés Purchases transport</t>
  </si>
  <si>
    <t>TVA collectée à 19,6% sur Débit</t>
  </si>
  <si>
    <t>44571360</t>
  </si>
  <si>
    <t>TVA collectée à 19,6% sur encaisst</t>
  </si>
  <si>
    <t xml:space="preserve"> Port Refac Loc The EEC</t>
  </si>
  <si>
    <t>VAT collected with 19,6% on encaisst</t>
  </si>
  <si>
    <t xml:space="preserve">Industrial Hardware Material France </t>
  </si>
  <si>
    <t>P Projection</t>
  </si>
  <si>
    <t xml:space="preserve">OTHER RECEIVABLE </t>
  </si>
  <si>
    <t>Source Sales</t>
  </si>
  <si>
    <t>Source P</t>
  </si>
  <si>
    <t>But not over --</t>
  </si>
  <si>
    <t>Tax is:</t>
  </si>
  <si>
    <t>Other management costs</t>
  </si>
  <si>
    <t xml:space="preserve">GROUP INSURANCE DEDUCTIONS </t>
  </si>
  <si>
    <t xml:space="preserve">Other Debtor, liability accounts </t>
  </si>
  <si>
    <t>5 Year Average</t>
  </si>
  <si>
    <t>Where ?</t>
  </si>
  <si>
    <t>Profit   Loss   per  Month</t>
  </si>
  <si>
    <t>Wo/LTD</t>
  </si>
  <si>
    <t>W/LTD</t>
  </si>
  <si>
    <t>2001 Profit</t>
  </si>
  <si>
    <t>Team name</t>
  </si>
  <si>
    <t>% of Sales</t>
  </si>
  <si>
    <t>Total Company</t>
  </si>
  <si>
    <t>*Process Engineering*</t>
  </si>
  <si>
    <t>N/A</t>
  </si>
  <si>
    <t xml:space="preserve"> Sales Sp Express The EEC</t>
  </si>
  <si>
    <t>low</t>
  </si>
  <si>
    <t>Autres comptes débiteurs/créditeurs</t>
  </si>
  <si>
    <t>46</t>
  </si>
  <si>
    <t>Amortissement Mat. Industriel CEE</t>
  </si>
  <si>
    <t>Liabilities</t>
  </si>
  <si>
    <t>Clients douteux ou litigieux</t>
  </si>
  <si>
    <t>10% Profit After 15%Ovh</t>
  </si>
  <si>
    <t>ALLOWANCE</t>
  </si>
  <si>
    <t>Honoraires</t>
  </si>
  <si>
    <t>62270000</t>
  </si>
  <si>
    <t>Others matères and furnace to 19,6%</t>
  </si>
  <si>
    <t>Purchases of goods exonerated</t>
  </si>
  <si>
    <t xml:space="preserve">Ventes Express </t>
  </si>
  <si>
    <t>Credits Issued</t>
  </si>
  <si>
    <t>Purchases Palatine</t>
  </si>
  <si>
    <t xml:space="preserve">Additional expenses of purchase </t>
  </si>
  <si>
    <t>*** Purchases</t>
  </si>
  <si>
    <t>General subcontracting</t>
  </si>
  <si>
    <t>62300000</t>
  </si>
  <si>
    <t>Right Customs Sales Purchases</t>
  </si>
  <si>
    <t>Purchases HCEE  other thab EC</t>
  </si>
  <si>
    <t>Purchases CEE</t>
  </si>
  <si>
    <t>Rémunérations du Personnel</t>
  </si>
  <si>
    <t xml:space="preserve">WITHHELD FEDERAL INC TAX </t>
  </si>
  <si>
    <t>Accounts Payable - France</t>
  </si>
  <si>
    <t xml:space="preserve">Balance </t>
  </si>
  <si>
    <t>Tier 1</t>
  </si>
  <si>
    <t>Subtotal</t>
  </si>
  <si>
    <t>Personnel Remunerations dues</t>
  </si>
  <si>
    <t>Transport on Sales</t>
  </si>
  <si>
    <t>Transport on Renting</t>
  </si>
  <si>
    <t>Transport between Establishments</t>
  </si>
  <si>
    <t>Publicité, publications, relations</t>
  </si>
  <si>
    <t>62310000</t>
  </si>
  <si>
    <t>Annonces &amp; Insertions</t>
  </si>
  <si>
    <t xml:space="preserve"> *** Produced exceptional</t>
  </si>
  <si>
    <t xml:space="preserve"> Exceptional Products</t>
  </si>
  <si>
    <t>44566200</t>
  </si>
  <si>
    <t>44566100</t>
  </si>
  <si>
    <t>Boxes etc</t>
  </si>
  <si>
    <t>ACCOUNTS PAYABLE INTRA COMPANY</t>
  </si>
  <si>
    <t>Displacement Gerard Tabary</t>
  </si>
  <si>
    <t>63511000</t>
  </si>
  <si>
    <t>Labor</t>
  </si>
  <si>
    <t>Guarantee Loans from CleanAir.com</t>
  </si>
  <si>
    <t xml:space="preserve"> Other loads of Personnel </t>
  </si>
  <si>
    <t>Rolling 12m S</t>
  </si>
  <si>
    <t>A/L=Curr Liab-A/P-C/D</t>
  </si>
  <si>
    <t>Depreciation</t>
  </si>
  <si>
    <t xml:space="preserve">Trailing 12 Mo. Feb 00 </t>
  </si>
  <si>
    <t>Customer and accounts attach</t>
  </si>
  <si>
    <t>*** Reference mark  / Damping &amp; provisions</t>
  </si>
  <si>
    <t>Office Rent</t>
  </si>
  <si>
    <t xml:space="preserve"> Occupational medicine</t>
  </si>
  <si>
    <t>Other financial products</t>
  </si>
  <si>
    <t>Voyages et Déplacements</t>
  </si>
  <si>
    <t>Rights Customs Renting Purchases</t>
  </si>
  <si>
    <t>Renting of vehicle (Long Duration)</t>
  </si>
  <si>
    <t>Rental loads Office</t>
  </si>
  <si>
    <t>FIXED ASSETS - COST</t>
  </si>
  <si>
    <t>ACCUM DEPR</t>
  </si>
  <si>
    <t>** Charges Sécurité sociale et Prév</t>
  </si>
  <si>
    <r>
      <t xml:space="preserve">% Profit  </t>
    </r>
    <r>
      <rPr>
        <sz val="12"/>
        <rFont val="Geneva"/>
      </rPr>
      <t>∆</t>
    </r>
  </si>
  <si>
    <t>Total Liabilities</t>
  </si>
  <si>
    <t>Non Interest Bearing</t>
  </si>
  <si>
    <t>S Projection</t>
  </si>
  <si>
    <t>44571300</t>
  </si>
  <si>
    <t>TVA****ne plus utiliser</t>
  </si>
  <si>
    <t>44571350</t>
  </si>
  <si>
    <t>Equity</t>
  </si>
  <si>
    <t>YEAR</t>
  </si>
  <si>
    <t>Feb</t>
  </si>
  <si>
    <t>Mar</t>
  </si>
  <si>
    <t>&lt;10&amp;</t>
  </si>
  <si>
    <t>48800500</t>
  </si>
  <si>
    <t>VAT Intracom at 19,6%</t>
  </si>
  <si>
    <t>*** States &amp; others collectiv</t>
  </si>
  <si>
    <t>Associated - Account-currents</t>
  </si>
  <si>
    <t>Accounting</t>
  </si>
  <si>
    <t>Corporate Tax</t>
  </si>
  <si>
    <t>70712800</t>
  </si>
  <si>
    <t>Mesures Terrain CEE</t>
  </si>
  <si>
    <t>70662800</t>
  </si>
  <si>
    <t>61102800</t>
  </si>
  <si>
    <t xml:space="preserve">ACCRUED CORPORATE TAX </t>
  </si>
  <si>
    <t xml:space="preserve">COMPUTER EQUIPMENT </t>
  </si>
  <si>
    <t>10 year Average</t>
  </si>
  <si>
    <t>*** Immobilisations corporelles</t>
  </si>
  <si>
    <t>27500000</t>
  </si>
  <si>
    <t>Amort. Matériel Industriel</t>
  </si>
  <si>
    <t>Provision for income taxes @ (41.3%)</t>
  </si>
  <si>
    <t>*** current débiteurs créditeurs</t>
  </si>
  <si>
    <t>Prepaid expenses</t>
  </si>
  <si>
    <t>Provisions/Amortissement Subscription</t>
  </si>
  <si>
    <t>Subscription Photocopies</t>
  </si>
  <si>
    <t>Capital  (Original Investment ??)</t>
  </si>
  <si>
    <t>Amort. Concessions et droits ...</t>
  </si>
  <si>
    <t>280</t>
  </si>
  <si>
    <t>Outillage Industriel</t>
  </si>
  <si>
    <t>% Increase YTY</t>
  </si>
  <si>
    <t>Customer Value Est.</t>
  </si>
  <si>
    <t>28154000</t>
  </si>
  <si>
    <t>Taxe Professionnelle</t>
  </si>
  <si>
    <t>63540000</t>
  </si>
  <si>
    <t>Droits d'enregistrements</t>
  </si>
  <si>
    <t>Sales Growth</t>
  </si>
  <si>
    <t>45</t>
  </si>
  <si>
    <t>*** Groupe et associés</t>
  </si>
  <si>
    <t>77</t>
  </si>
  <si>
    <t>78650000</t>
  </si>
  <si>
    <t>Trailing 12 months</t>
  </si>
  <si>
    <t>France Profit per US book</t>
  </si>
  <si>
    <t>45500000</t>
  </si>
  <si>
    <t>For 5% oc EEMC</t>
  </si>
  <si>
    <t>less Taxes @ 15%1,2</t>
  </si>
  <si>
    <t>786</t>
  </si>
  <si>
    <t>** Rep/prov. - Prod. financiers</t>
  </si>
  <si>
    <t>78</t>
  </si>
  <si>
    <t>64510000</t>
  </si>
  <si>
    <t>64520000</t>
  </si>
  <si>
    <t>Cot. mutuelles</t>
  </si>
  <si>
    <t>64530000</t>
  </si>
  <si>
    <t>62513000</t>
  </si>
  <si>
    <t>Express</t>
  </si>
  <si>
    <t>Tickets Restaurants Part. Salariés</t>
  </si>
  <si>
    <t>43710000</t>
  </si>
  <si>
    <t>OTHER CURRENT LIABILITIES</t>
  </si>
  <si>
    <t>ACCR PROFESSIONAL TAX</t>
  </si>
  <si>
    <t>ACCOUNTS PAYABLE - FRANCE</t>
  </si>
  <si>
    <t xml:space="preserve"> Variation of Euro conversion - Product</t>
  </si>
  <si>
    <t>Clean Air Europe(France)</t>
  </si>
  <si>
    <t>Team Profit</t>
  </si>
  <si>
    <t>Current Assets</t>
  </si>
  <si>
    <t>48800200</t>
  </si>
  <si>
    <t>*** Intangible fixed assets</t>
  </si>
  <si>
    <t>Subscription The Post office</t>
  </si>
  <si>
    <t xml:space="preserve">Provisions Assurances CCP </t>
  </si>
  <si>
    <t>Total Source Groups</t>
  </si>
  <si>
    <t>*Source Core*</t>
  </si>
  <si>
    <t>.</t>
  </si>
  <si>
    <t>Port Refac Loc CEE</t>
  </si>
  <si>
    <t>70</t>
  </si>
  <si>
    <t>45550000</t>
  </si>
  <si>
    <t>Associés  CC: CAE</t>
  </si>
  <si>
    <t>Industrial Matériel except EC and CAE</t>
  </si>
  <si>
    <t>plus</t>
  </si>
  <si>
    <t>Lab Services</t>
  </si>
  <si>
    <t>Denver</t>
  </si>
  <si>
    <t>Palatine</t>
  </si>
  <si>
    <t>Houston</t>
  </si>
  <si>
    <t>Of the  amount over--</t>
  </si>
  <si>
    <t>O</t>
  </si>
  <si>
    <t>Starting Rate</t>
  </si>
  <si>
    <t>Ending Rate</t>
  </si>
  <si>
    <t xml:space="preserve"> Transport Sales Express</t>
  </si>
  <si>
    <t xml:space="preserve"> Transp Sales Express  The EEC</t>
  </si>
  <si>
    <t xml:space="preserve"> Port Refac Rental</t>
  </si>
  <si>
    <t>ACCRUED-AUDIT</t>
  </si>
  <si>
    <t>ACCRUED-PROPERTY-TAX</t>
  </si>
  <si>
    <t>ACCRUED-CORPORATE-TAX</t>
  </si>
  <si>
    <t>Report a nouveau (debiteur)</t>
  </si>
  <si>
    <t xml:space="preserve"> Loads of interests</t>
  </si>
  <si>
    <t>US Rentals</t>
  </si>
  <si>
    <t xml:space="preserve">Trailing 12 Mo. </t>
  </si>
  <si>
    <t>plus INTEREST</t>
  </si>
  <si>
    <t>Matiere ou Groupe C</t>
  </si>
  <si>
    <t xml:space="preserve">ACCRUED AUDIT FEES </t>
  </si>
  <si>
    <t>No idea</t>
  </si>
  <si>
    <t>Right off of goodwill ???</t>
  </si>
  <si>
    <t>*** Amort. Immobilisations</t>
  </si>
  <si>
    <t>Port Refac Ventes CEE</t>
  </si>
  <si>
    <t>70855000</t>
  </si>
  <si>
    <t>** Ventes prod. fabr, serv. &amp; march</t>
  </si>
  <si>
    <t>SALES BY MONTH</t>
  </si>
  <si>
    <t>*** dépré prov Accounts of third</t>
  </si>
  <si>
    <t>*** Accounts of regularization</t>
  </si>
  <si>
    <t>Employee Labor</t>
  </si>
  <si>
    <t>*** Débiteurs, créditeurs divers</t>
  </si>
  <si>
    <t>48600000</t>
  </si>
  <si>
    <t>Trading Company</t>
  </si>
  <si>
    <t>LONG TERM DEBT</t>
  </si>
  <si>
    <t>*** Client et compete rattaches</t>
  </si>
  <si>
    <t>*** Rep. /Amortissement &amp; provisions</t>
  </si>
  <si>
    <t>Personnel - Advances and installments</t>
  </si>
  <si>
    <t>*** Personal &amp; accounts attached</t>
  </si>
  <si>
    <t>61800000</t>
  </si>
  <si>
    <t>62280000</t>
  </si>
  <si>
    <t>Divers</t>
  </si>
  <si>
    <t>Congés payés</t>
  </si>
  <si>
    <t>64130000</t>
  </si>
  <si>
    <t>Primes d'assurance</t>
  </si>
  <si>
    <t>Rent Office</t>
  </si>
  <si>
    <t xml:space="preserve"> Port FAC Prest Many EEC</t>
  </si>
  <si>
    <t xml:space="preserve"> Port refacturé Sales</t>
  </si>
  <si>
    <t>Accounts Receivable ???</t>
  </si>
  <si>
    <t>*** Personnel &amp; comptes rattaches</t>
  </si>
  <si>
    <t>Amort. Mat. Industriel FR</t>
  </si>
  <si>
    <t>Provisions Taxes Professional</t>
  </si>
  <si>
    <t>Emballages</t>
  </si>
  <si>
    <t>Port Facturé Maintenance Prestation</t>
  </si>
  <si>
    <t>70842800</t>
  </si>
  <si>
    <t>Port Fac Prest Maint CEE</t>
  </si>
  <si>
    <t>70850000</t>
  </si>
  <si>
    <t>Port refacturé Ventes</t>
  </si>
  <si>
    <t>70852800</t>
  </si>
  <si>
    <t>*** Other loads of management</t>
  </si>
  <si>
    <t>Total Equipment Services</t>
  </si>
  <si>
    <t>Participation paid results</t>
  </si>
  <si>
    <t>TVA DEC S/IMMOS 19.6%</t>
  </si>
  <si>
    <t xml:space="preserve"> Price Increase</t>
  </si>
  <si>
    <t>NA</t>
  </si>
  <si>
    <t>Shares outstanding</t>
  </si>
  <si>
    <t>Less Deferred Taxes@20%</t>
  </si>
  <si>
    <t>Unofficial</t>
  </si>
  <si>
    <t>Month</t>
  </si>
  <si>
    <t>Sales</t>
  </si>
  <si>
    <t>Profit</t>
  </si>
  <si>
    <t>Current Debt</t>
  </si>
  <si>
    <t>TOTAL LIABILITIES</t>
  </si>
  <si>
    <t>TVA DED S/ACH 5.5%</t>
  </si>
  <si>
    <t>Paid Prado Precaution</t>
  </si>
  <si>
    <t>MUTUAL INSURANCE COMPANY</t>
  </si>
  <si>
    <t>Gases and Consumable</t>
  </si>
  <si>
    <t>Supplies and Renting</t>
  </si>
  <si>
    <t>Total Expenses</t>
  </si>
  <si>
    <t>Gas consumption</t>
  </si>
  <si>
    <t>w/LTD@ 80%</t>
  </si>
  <si>
    <t>% PROFIT by Month</t>
  </si>
  <si>
    <t>LOAN-STOCKHOLDERS</t>
  </si>
  <si>
    <t>LOAN-WORKING-CAPITAL</t>
  </si>
  <si>
    <t>ACCRUED P/R TAXES</t>
  </si>
  <si>
    <t>ACCRUED VAT</t>
  </si>
  <si>
    <t>Matter or Group C</t>
  </si>
  <si>
    <t>After tax Earnings</t>
  </si>
  <si>
    <t>Interest Expense</t>
  </si>
  <si>
    <t xml:space="preserve">LOAN PAYABLE - EQUIPMENT LINE </t>
  </si>
  <si>
    <t>Amortissement Installations générales</t>
  </si>
  <si>
    <t>Damping general Installations</t>
  </si>
  <si>
    <t>Cotisation Ptévoyance</t>
  </si>
  <si>
    <t>Amortissement Matériel de bureau &amp; info.</t>
  </si>
  <si>
    <t>Achats de marchandises exonérées</t>
  </si>
  <si>
    <t>60700100</t>
  </si>
  <si>
    <t xml:space="preserve">CURRENT YEAR PROFIT(LOSS) </t>
  </si>
  <si>
    <t>Sep</t>
  </si>
  <si>
    <t xml:space="preserve"> % Profit</t>
  </si>
  <si>
    <t>WITHHELD-IL-TAX</t>
  </si>
  <si>
    <t>WITHHELD_CO_TAX</t>
  </si>
  <si>
    <t>WITHHELD-PA-TAX</t>
  </si>
  <si>
    <t>Eq Term L Cur</t>
  </si>
  <si>
    <t>EARNINGS (last 12 months)</t>
  </si>
  <si>
    <t>Ventes Pièces détachées et Consomma</t>
  </si>
  <si>
    <t>Produits divers de gestion courante</t>
  </si>
  <si>
    <t>75</t>
  </si>
  <si>
    <t>Personnel - Remunerations due</t>
  </si>
  <si>
    <t>Maintenance Logiciel</t>
  </si>
  <si>
    <t>70660000</t>
  </si>
  <si>
    <t>Location</t>
  </si>
  <si>
    <t>Plus CASH</t>
  </si>
  <si>
    <t>ValueEBIT</t>
  </si>
  <si>
    <t>ValueBOOK</t>
  </si>
  <si>
    <t>Clients Intracompany</t>
  </si>
  <si>
    <t>Installations générales</t>
  </si>
  <si>
    <t>21830000</t>
  </si>
  <si>
    <t>Matériel de bureau &amp; informatique</t>
  </si>
  <si>
    <t>Rolling Profit</t>
  </si>
  <si>
    <t>12M Rolling P</t>
  </si>
  <si>
    <t>Prior 12M P</t>
  </si>
  <si>
    <t xml:space="preserve">LOAN PAYABLE - WORKING CAPITAL </t>
  </si>
  <si>
    <t>Ecart de conversion Euro - Produit</t>
  </si>
  <si>
    <t>76</t>
  </si>
  <si>
    <t>Looks like your plan is working and thaty your prediction of startup cost was accurate inspite of the negative  P &amp; P incentive.</t>
  </si>
  <si>
    <t>28050000</t>
  </si>
  <si>
    <t>** Amort. Immob. incorporelles</t>
  </si>
  <si>
    <t>28150000</t>
  </si>
  <si>
    <t>Materiel Industriel CAE</t>
  </si>
  <si>
    <t xml:space="preserve"> Transfers of loads exploitation </t>
  </si>
  <si>
    <t>Tickets Restaurants Leaves</t>
  </si>
  <si>
    <t>*** Soc &amp; Security others org</t>
  </si>
  <si>
    <t>State income taxes</t>
  </si>
  <si>
    <t>VAT to be withdrawn</t>
  </si>
  <si>
    <t>Autres produits financiers</t>
  </si>
  <si>
    <t>Rep/prov. risques &amp; charges financ.</t>
  </si>
  <si>
    <t>62510000</t>
  </si>
  <si>
    <t>64110000</t>
  </si>
  <si>
    <t>Allowances various advantages</t>
  </si>
  <si>
    <t>Gains de change</t>
  </si>
  <si>
    <t>76800000</t>
  </si>
  <si>
    <t>*** Autres produits gest. courante</t>
  </si>
  <si>
    <t>12 M Roll S</t>
  </si>
  <si>
    <t>16A</t>
  </si>
  <si>
    <t>16B</t>
  </si>
  <si>
    <t>less Taxes @ 40%1,2</t>
  </si>
  <si>
    <t>76880000</t>
  </si>
  <si>
    <t>Eqyilivant shares of CAE</t>
  </si>
  <si>
    <t>Eds share=</t>
  </si>
  <si>
    <t>Rafiel</t>
  </si>
  <si>
    <t>Brown</t>
  </si>
  <si>
    <t>77500000</t>
  </si>
  <si>
    <t>Produits de cession d'élém. d'actif</t>
  </si>
  <si>
    <t>Associate Account-currents</t>
  </si>
  <si>
    <t>Current Ratio</t>
  </si>
  <si>
    <t>Nov</t>
  </si>
  <si>
    <t>Dec</t>
  </si>
  <si>
    <t>f</t>
  </si>
  <si>
    <t>** Remunerations of the personnel</t>
  </si>
  <si>
    <t xml:space="preserve"> Contributions Urssaf</t>
  </si>
  <si>
    <t>This is a French tax dodge for lunches</t>
  </si>
  <si>
    <t>Winter Months</t>
  </si>
  <si>
    <t>*** Customers and accounts attached</t>
  </si>
  <si>
    <t>Location CEE</t>
  </si>
  <si>
    <t>70710000</t>
  </si>
  <si>
    <t>*** Virements internes</t>
  </si>
  <si>
    <t>5</t>
  </si>
  <si>
    <t>Bill</t>
  </si>
  <si>
    <t>Nice Work!</t>
  </si>
  <si>
    <t>Aug</t>
  </si>
  <si>
    <t>Fournitures Entretien, petit équip.</t>
  </si>
  <si>
    <t>60630290</t>
  </si>
  <si>
    <t>Doubtful or litigious customers</t>
  </si>
  <si>
    <t>Accounts</t>
  </si>
  <si>
    <t>Account's Name</t>
  </si>
  <si>
    <t>CAE #</t>
  </si>
  <si>
    <t xml:space="preserve">Original Investment </t>
  </si>
  <si>
    <t>Abonnement Photocopie</t>
  </si>
  <si>
    <t>48800600</t>
  </si>
  <si>
    <t>Abonnement La Poste</t>
  </si>
  <si>
    <t>48860100</t>
  </si>
  <si>
    <t>49</t>
  </si>
  <si>
    <t>Pittsburgh</t>
  </si>
  <si>
    <t>*** COMPTES DE TIERS</t>
  </si>
  <si>
    <t>** Sales prod fabr, serv &amp; march</t>
  </si>
  <si>
    <t>12 mon Rent Sales</t>
  </si>
  <si>
    <t xml:space="preserve">TOTAL NET FIXED ASSETS </t>
  </si>
  <si>
    <t>Cap of CAE/Cap of CAEE</t>
  </si>
  <si>
    <t>Current</t>
  </si>
  <si>
    <t>Date</t>
  </si>
  <si>
    <t>OTHER PAYROLL DEDUCTIONS</t>
  </si>
  <si>
    <t/>
  </si>
  <si>
    <t>Profit Corrected</t>
  </si>
  <si>
    <t>Cost</t>
  </si>
  <si>
    <t>64140000</t>
  </si>
  <si>
    <t>Materiel Industriel FR</t>
  </si>
  <si>
    <t>Materiel Industriel IN</t>
  </si>
  <si>
    <t>*** ACCOUNTS OF FIXED ASSETS</t>
  </si>
  <si>
    <t>*** Other provisioning</t>
  </si>
  <si>
    <t>LIABILITIES &amp; EQUITY</t>
  </si>
  <si>
    <t xml:space="preserve">New Loans  </t>
  </si>
  <si>
    <t>Change in Loan or line of credit ????</t>
  </si>
  <si>
    <t xml:space="preserve">Industrial Material </t>
  </si>
  <si>
    <t>Materiel Industriel HO</t>
  </si>
  <si>
    <t>Industrial Matériel from CAE</t>
  </si>
  <si>
    <r>
      <t xml:space="preserve">After tax Earnings </t>
    </r>
    <r>
      <rPr>
        <b/>
        <sz val="10"/>
        <rFont val="Geneva"/>
      </rPr>
      <t>NOPAT</t>
    </r>
  </si>
  <si>
    <r>
      <t xml:space="preserve">Capital Cost Rate True </t>
    </r>
    <r>
      <rPr>
        <b/>
        <sz val="10"/>
        <rFont val="Geneva"/>
      </rPr>
      <t>CCR</t>
    </r>
  </si>
  <si>
    <t>12M Rolling</t>
  </si>
  <si>
    <r>
      <t xml:space="preserve">% sales  </t>
    </r>
    <r>
      <rPr>
        <sz val="12"/>
        <rFont val="Geneva"/>
      </rPr>
      <t>∆</t>
    </r>
  </si>
  <si>
    <t>Droits Douane Achats Location</t>
  </si>
  <si>
    <t>60260000</t>
  </si>
  <si>
    <t>60630000</t>
  </si>
  <si>
    <t>Matériel Industriel CAE</t>
  </si>
  <si>
    <t>21550000</t>
  </si>
  <si>
    <t>Trailing 12 Mo.</t>
  </si>
  <si>
    <t>PREPAID - OTHER</t>
  </si>
  <si>
    <t xml:space="preserve">TOTAL LONG TERM DEBT </t>
  </si>
  <si>
    <t xml:space="preserve">TOTAL LIABILITIES </t>
  </si>
  <si>
    <t>Fr term Cur</t>
  </si>
  <si>
    <t>$'s Owed CAE  USA</t>
  </si>
  <si>
    <t>Total</t>
  </si>
  <si>
    <t>75800000</t>
  </si>
  <si>
    <t>Corporate Finance</t>
  </si>
  <si>
    <t>EEMC Stock Estimate</t>
  </si>
  <si>
    <t>Balance</t>
  </si>
  <si>
    <t>Customers  (change in A/R ?? )</t>
  </si>
  <si>
    <t xml:space="preserve">          </t>
  </si>
  <si>
    <t>Supply and Renting the EEC</t>
  </si>
  <si>
    <t>Primes et gratifications</t>
  </si>
  <si>
    <t>EBIT</t>
  </si>
  <si>
    <t>Total Debt</t>
  </si>
  <si>
    <t>64120000</t>
  </si>
  <si>
    <t>Prov Accounts of customers</t>
  </si>
  <si>
    <t>Amortization of Assets</t>
  </si>
  <si>
    <t>RESERVE FOR OBSOLESCENCE</t>
  </si>
  <si>
    <t>PREPAID INSURANCE-GENERAL</t>
  </si>
  <si>
    <t>Trailing 12 Months Oct 99</t>
  </si>
  <si>
    <t>=================== ===================</t>
  </si>
  <si>
    <t>SALES</t>
  </si>
  <si>
    <t xml:space="preserve">There's currently no Profit/Pain incentive for investment into the future (only negative's if I fail).  Maybe this incentive plan needs something added for dept's that are aiming for more than 15% growth.  You were asking for 30% growth the other day .....maybe 20% (not 15%) should be the starting point in P&amp;P, then another kicker for higher growth rates (e.g. a second one for 30% and a third for 40%, etc.).  </t>
  </si>
  <si>
    <t>** Banques, étab. fin. et assimilés</t>
  </si>
  <si>
    <t>53110000</t>
  </si>
  <si>
    <t>Caisse en Monnaie locale</t>
  </si>
  <si>
    <t>FRANCE TERM LOAN-NONCURRENT</t>
  </si>
  <si>
    <t>TOTAL LONG TERM DEBT</t>
  </si>
  <si>
    <t>Avg</t>
  </si>
  <si>
    <t>CAE, Inc   94</t>
  </si>
  <si>
    <t>CAE, Inc   95</t>
  </si>
  <si>
    <t>COMMON STOCK ISSUED</t>
  </si>
  <si>
    <t>Apr</t>
  </si>
  <si>
    <t>OTHER RECEIVABLE</t>
  </si>
  <si>
    <t>** Banks, étab fine and comparable</t>
  </si>
  <si>
    <t>Cash in Local currency</t>
  </si>
  <si>
    <t>Cash in USD</t>
  </si>
  <si>
    <t>*** Cash</t>
  </si>
  <si>
    <t xml:space="preserve"> Loads of current management </t>
  </si>
  <si>
    <t>*** Etats &amp; autres collectiv.</t>
  </si>
  <si>
    <t>Ventes Pièces détach et Conso CEE</t>
  </si>
  <si>
    <t>70750000</t>
  </si>
  <si>
    <t>Entretien et petit équip Palatine</t>
  </si>
  <si>
    <t>Cotisaton CIRRSE</t>
  </si>
  <si>
    <t>64540000</t>
  </si>
  <si>
    <t>Cotisations ASSEDIC</t>
  </si>
  <si>
    <t>64550000</t>
  </si>
  <si>
    <t xml:space="preserve">*** Virements intern </t>
  </si>
  <si>
    <t>*** FINANCIAL ACCOUNTS</t>
  </si>
  <si>
    <t>Conference</t>
  </si>
  <si>
    <t>Gifts Customers</t>
  </si>
  <si>
    <t>Long Term Debt</t>
  </si>
  <si>
    <t>*** Prov. dépré. Comptes de tiers</t>
  </si>
  <si>
    <t>4</t>
  </si>
  <si>
    <t>Mort cur</t>
  </si>
  <si>
    <t xml:space="preserve">TOTAL LIABILITIES &amp; EQUITY </t>
  </si>
  <si>
    <t>Mort LT</t>
  </si>
  <si>
    <t>Eq LT</t>
  </si>
  <si>
    <t>Cap Leas LT</t>
  </si>
  <si>
    <t>Fr LT</t>
  </si>
  <si>
    <t>Revenue per employee</t>
  </si>
  <si>
    <t>12 M Roll P per US book</t>
  </si>
  <si>
    <t>INTANGIBLE ASSETS</t>
  </si>
  <si>
    <t>TOTAL OTHER ASSETS</t>
  </si>
  <si>
    <t>TOTAL ASSETS</t>
  </si>
  <si>
    <t>ACCOUNTS PAYABLE</t>
  </si>
  <si>
    <t>*** Immobilisations incorporelles</t>
  </si>
  <si>
    <t>21540000</t>
  </si>
  <si>
    <t xml:space="preserve"> Profit After Cost Cut</t>
  </si>
  <si>
    <t xml:space="preserve">Sales Corrected </t>
  </si>
  <si>
    <t>21810000</t>
  </si>
  <si>
    <t xml:space="preserve">INTERCOMPANY A/P - FRANCE </t>
  </si>
  <si>
    <t xml:space="preserve">VEHICLES </t>
  </si>
  <si>
    <t>CAE, Inc   97</t>
  </si>
  <si>
    <t xml:space="preserve">ACCRUED EXPENSES - FRANCE </t>
  </si>
  <si>
    <t>PROFIT</t>
  </si>
  <si>
    <t xml:space="preserve">MORTGAGE-NONCURRENT </t>
  </si>
  <si>
    <t>Asset Book Value</t>
  </si>
  <si>
    <t>Rolling
12M Diff</t>
  </si>
  <si>
    <t>FIXED ASSETS</t>
  </si>
  <si>
    <t>COST</t>
  </si>
  <si>
    <t>Depreciation &amp; Amortization</t>
  </si>
  <si>
    <t>*** Produits exceptionnels</t>
  </si>
  <si>
    <t>Q Profit</t>
  </si>
  <si>
    <t>12m Profit</t>
  </si>
  <si>
    <t>Fournisseurs intracom.</t>
  </si>
  <si>
    <t>Current Debt + CAE A/P</t>
  </si>
  <si>
    <t>MIN</t>
  </si>
  <si>
    <t xml:space="preserve">FRANCE TERM LOAN - CURRENT </t>
  </si>
  <si>
    <t>Debt-Free Net Income2</t>
  </si>
  <si>
    <t xml:space="preserve">                                                                     Over--</t>
  </si>
  <si>
    <t>CURRENT BALANCE CAT. SUB TOTALS</t>
  </si>
  <si>
    <t>ASSETS</t>
  </si>
  <si>
    <t>Quarter Profit</t>
  </si>
  <si>
    <t>Post</t>
  </si>
  <si>
    <t>Telephone</t>
  </si>
  <si>
    <t>Banking and Comparable services</t>
  </si>
  <si>
    <t>Commissions &amp; Expenses</t>
  </si>
  <si>
    <t>Contest various</t>
  </si>
  <si>
    <t>*** COMPTES FINANCIERS</t>
  </si>
  <si>
    <t>60210000</t>
  </si>
  <si>
    <t>*** fixed assets damping incorporeal</t>
  </si>
  <si>
    <t>Mouvements de fonds</t>
  </si>
  <si>
    <t>58</t>
  </si>
  <si>
    <t>70620000</t>
  </si>
  <si>
    <t>Réparation</t>
  </si>
  <si>
    <t>77000000</t>
  </si>
  <si>
    <t>Produits Exceptionnels</t>
  </si>
  <si>
    <t>Transports Administratifs</t>
  </si>
  <si>
    <t>62500000</t>
  </si>
  <si>
    <t>Déplacements, missions, réceptions</t>
  </si>
  <si>
    <t>ACCRUED-EXPENSES-FRANCE</t>
  </si>
  <si>
    <t>ACCRUED-VACATION</t>
  </si>
  <si>
    <t>Customers Intracom</t>
  </si>
  <si>
    <t>*** COMPTES DE CHARGES</t>
  </si>
  <si>
    <t>70610000</t>
  </si>
  <si>
    <t>Consommation de Gaz</t>
  </si>
  <si>
    <t>70612800</t>
  </si>
  <si>
    <t>Consommation Gaz CEE</t>
  </si>
  <si>
    <t>89-1998</t>
  </si>
  <si>
    <t>*** Dotations aux amortis. &amp; prov.</t>
  </si>
  <si>
    <t>6</t>
  </si>
  <si>
    <t>** Amortissement Immob. incorporelles</t>
  </si>
  <si>
    <t>401K-DEDUCTIONS</t>
  </si>
  <si>
    <t>** Amortissement Immobilisations</t>
  </si>
  <si>
    <t>Participation salariés résultats</t>
  </si>
  <si>
    <t>42500000</t>
  </si>
  <si>
    <t>A/P  cleanair</t>
  </si>
  <si>
    <t xml:space="preserve">TOTAL CURRENT LIABILITIES </t>
  </si>
  <si>
    <t>INVENTORY</t>
  </si>
  <si>
    <t>Current Liabilities</t>
  </si>
  <si>
    <t>-------------------</t>
  </si>
  <si>
    <t>Value EBIT must equal</t>
  </si>
  <si>
    <t>70642800</t>
  </si>
  <si>
    <t>*** external Services</t>
  </si>
  <si>
    <t>EXPENSE ADVANCES</t>
  </si>
  <si>
    <t>TOTAL CURRENT ASSETS</t>
  </si>
  <si>
    <t>LAND &amp; BUILDINGS</t>
  </si>
  <si>
    <t>COMPUTER EQUIPMENT</t>
  </si>
  <si>
    <t>LEASEHOLD IMPROVEMENTS</t>
  </si>
  <si>
    <t>MACHINERY &amp; EQUIPMENT</t>
  </si>
  <si>
    <t>MORTGAGE-NONCURRENT</t>
  </si>
  <si>
    <t>YEARS ENDED DECEMBER 31,</t>
  </si>
  <si>
    <t>51221000</t>
  </si>
  <si>
    <t>KREDIETBANK</t>
  </si>
  <si>
    <t>51241000</t>
  </si>
  <si>
    <t xml:space="preserve"> Installations generales</t>
  </si>
  <si>
    <t>High</t>
  </si>
  <si>
    <t>CAE, Inc</t>
  </si>
  <si>
    <t>SALES YTD</t>
  </si>
  <si>
    <t>ACCUMULATED PROFIT %</t>
  </si>
  <si>
    <t xml:space="preserve">  </t>
  </si>
  <si>
    <t>** Installations tech, Matériel , Outillage</t>
  </si>
  <si>
    <t>66880000</t>
  </si>
  <si>
    <t>Fr Cur</t>
  </si>
  <si>
    <t xml:space="preserve">EQUIPMENT TERM LOANS-NONCURRENT </t>
  </si>
  <si>
    <t xml:space="preserve">FRANCE TERM LOAN-NONCURRENT </t>
  </si>
  <si>
    <t>CICFRF</t>
  </si>
  <si>
    <t>51242000</t>
  </si>
  <si>
    <t>CICEUR</t>
  </si>
  <si>
    <t>*** Equipments with deadened &amp; prov</t>
  </si>
  <si>
    <t xml:space="preserve"> *** EXPENSE ACCOUNTS</t>
  </si>
  <si>
    <t>CAPITAL-LEASES</t>
  </si>
  <si>
    <t>INTERCOMPANY-A/P-FRANCE</t>
  </si>
  <si>
    <t xml:space="preserve">Loads / exercises former </t>
  </si>
  <si>
    <t>May</t>
  </si>
  <si>
    <t xml:space="preserve">*Team* denotes closed </t>
  </si>
  <si>
    <t>USA Rental Sales</t>
  </si>
  <si>
    <t>ACCRUED SALARIES, ETC.</t>
  </si>
  <si>
    <t>MCL400G 10/06/99 14:45:37 PAGE 1 STATEMENT GENERATOR</t>
  </si>
  <si>
    <t>Houston P</t>
  </si>
  <si>
    <t>37002900</t>
  </si>
  <si>
    <t xml:space="preserve">EQUIPMENT TERM LOANS - CURRENT </t>
  </si>
  <si>
    <t>INTERCOMPANY A/R - FRANCE</t>
  </si>
  <si>
    <t>If Cut Cost</t>
  </si>
  <si>
    <t>New P</t>
  </si>
  <si>
    <t xml:space="preserve">ADDITIONAL PAID IN CAPITAL </t>
  </si>
  <si>
    <t xml:space="preserve">RETAINED EARNINGS </t>
  </si>
  <si>
    <t>Economic Value Added</t>
  </si>
  <si>
    <t>A/R Ageing, days</t>
  </si>
  <si>
    <t xml:space="preserve">NOTES REC FROM SHAREHOLDERS </t>
  </si>
  <si>
    <t>LOAN-EQUIPMENT</t>
  </si>
  <si>
    <t>Jun</t>
  </si>
  <si>
    <t>&lt;-5%</t>
  </si>
  <si>
    <t>Jul</t>
  </si>
  <si>
    <t>Rental Sales  USA</t>
  </si>
  <si>
    <t xml:space="preserve">Rental Profit </t>
  </si>
  <si>
    <t>*Rentals Management Core*</t>
  </si>
  <si>
    <t>Information Services</t>
  </si>
  <si>
    <t>Management Core</t>
  </si>
  <si>
    <t>Administrative</t>
  </si>
  <si>
    <t>OH costs as a % of company sales</t>
  </si>
  <si>
    <t xml:space="preserve">G&amp;A Summary </t>
  </si>
  <si>
    <t>France Profit Bef Var</t>
  </si>
  <si>
    <t>USA Profit Aft Var</t>
  </si>
  <si>
    <t>Publicity, publications, relations</t>
  </si>
  <si>
    <t>Advertisements &amp; Insertions</t>
  </si>
  <si>
    <t>Mortgage</t>
  </si>
  <si>
    <t>Non Mortage</t>
  </si>
  <si>
    <t>Working C</t>
  </si>
  <si>
    <t>Cap Lease</t>
  </si>
  <si>
    <t>*** COMPTES DE CAPITAUX</t>
  </si>
  <si>
    <t>20500000</t>
  </si>
  <si>
    <t>Concessions et droits similaires ..</t>
  </si>
  <si>
    <t>20</t>
  </si>
  <si>
    <t>*** exceptional Loads</t>
  </si>
  <si>
    <t>Special charges</t>
  </si>
  <si>
    <t>*** ACCOUNTS OF THIRD</t>
  </si>
  <si>
    <t>** Banks</t>
  </si>
  <si>
    <r>
      <t xml:space="preserve">LOI Assets </t>
    </r>
    <r>
      <rPr>
        <u/>
        <sz val="10"/>
        <rFont val="Geneva"/>
      </rPr>
      <t>+</t>
    </r>
    <r>
      <rPr>
        <sz val="10"/>
        <rFont val="Geneva"/>
      </rPr>
      <t xml:space="preserve"> $1.8M </t>
    </r>
  </si>
  <si>
    <t>21840000</t>
  </si>
  <si>
    <t>21860000</t>
  </si>
  <si>
    <t>*** Autres immob. corporellles</t>
  </si>
  <si>
    <t>21</t>
  </si>
  <si>
    <t>Return on Capital</t>
  </si>
  <si>
    <t>ACCUMULATED DEPRECIATION</t>
  </si>
  <si>
    <t>OTHER ASSETS</t>
  </si>
  <si>
    <t>12 Mo Profit Formula</t>
  </si>
  <si>
    <t>EVA = NOTPAT - C*CCR</t>
  </si>
  <si>
    <t>Month Interest</t>
  </si>
  <si>
    <t>49100000</t>
  </si>
  <si>
    <t>Prior 12 mo Rolling P</t>
  </si>
  <si>
    <t>12 Mo Improvement</t>
  </si>
  <si>
    <t>3Mo Ending</t>
  </si>
  <si>
    <t>Profit Range</t>
  </si>
  <si>
    <t>Social security and different</t>
  </si>
  <si>
    <t>Deposits ????</t>
  </si>
  <si>
    <t>CLEAN AIR ENGINEERING, INC.</t>
  </si>
  <si>
    <t>Mo Profit</t>
  </si>
  <si>
    <t>Average</t>
  </si>
  <si>
    <t>DEPOSITS</t>
  </si>
  <si>
    <t>Rolling Total</t>
  </si>
  <si>
    <t xml:space="preserve">Trailing 12 Mo. Mar 00 </t>
  </si>
  <si>
    <t>PREPAID EXPENSES-FRANCE</t>
  </si>
  <si>
    <t>BALANCE SHEET - SEPTEMBER 1999</t>
  </si>
  <si>
    <t xml:space="preserve">ACCOUNTS RECEIVABLE - FRANCE </t>
  </si>
  <si>
    <t>LOANS PAYABLE excluding current</t>
  </si>
  <si>
    <t>LOANS PAYABLE current</t>
  </si>
  <si>
    <t>61600000</t>
  </si>
  <si>
    <t>Sous-traitance générale</t>
  </si>
  <si>
    <t>** Installations tech, mat., outil</t>
  </si>
  <si>
    <t>Dollars per Euro Exchange</t>
  </si>
  <si>
    <t>Value of EquityAVERAGE</t>
  </si>
  <si>
    <t>Number of Shares Issued</t>
  </si>
  <si>
    <t xml:space="preserve">Factor </t>
  </si>
  <si>
    <t>CAE Express Qtr Sales</t>
  </si>
  <si>
    <t>43100000</t>
  </si>
  <si>
    <t>URSSAF</t>
  </si>
  <si>
    <t>43700000</t>
  </si>
  <si>
    <t>Displacement Sylvie Verona</t>
  </si>
  <si>
    <t>Displacement Pierre Guillou</t>
  </si>
  <si>
    <t>trailing 12 mo</t>
  </si>
  <si>
    <t>yr to yr %</t>
  </si>
  <si>
    <t>Mo Sales</t>
  </si>
  <si>
    <t>ACCUMULATED-SALARIES-PAYABLE</t>
  </si>
  <si>
    <t>LINEST</t>
  </si>
  <si>
    <t>12 M Roll P</t>
  </si>
  <si>
    <t xml:space="preserve">Profit   YTD               Profit   YTD                Profit   YTD           Profit   YTD  </t>
  </si>
  <si>
    <t>A/P to CAE</t>
  </si>
  <si>
    <t>Participation salaries resultats</t>
  </si>
  <si>
    <t>10% Profit After Tax</t>
  </si>
  <si>
    <t xml:space="preserve"> *** Other external services</t>
  </si>
  <si>
    <t>70622800</t>
  </si>
  <si>
    <t>Réparation CEE</t>
  </si>
  <si>
    <t>70632800</t>
  </si>
  <si>
    <t>Industrial Material Damping</t>
  </si>
  <si>
    <t>Gaz et Consommables</t>
  </si>
  <si>
    <t>60230000</t>
  </si>
  <si>
    <t>60239900</t>
  </si>
  <si>
    <t>Houston S</t>
  </si>
  <si>
    <t>Fournitures et Location</t>
  </si>
  <si>
    <t>60232800</t>
  </si>
  <si>
    <t>91-2000</t>
  </si>
  <si>
    <t>Bad debt or disputed</t>
  </si>
  <si>
    <t>** Providers and accounts attached</t>
  </si>
  <si>
    <t>** Dot. amort &amp; prov.- Exploitation</t>
  </si>
  <si>
    <t>68</t>
  </si>
  <si>
    <t>Mesures Terrain HCEE</t>
  </si>
  <si>
    <t>Calculation of Capital</t>
  </si>
  <si>
    <t>Total Equity ???</t>
  </si>
  <si>
    <t>Loan from Stockholder</t>
  </si>
  <si>
    <t>CAE Express Qtr Profit</t>
  </si>
  <si>
    <t>Personnel - Avances et acomptes</t>
  </si>
  <si>
    <t>42</t>
  </si>
  <si>
    <t>Providers</t>
  </si>
  <si>
    <t>A/P   EC suppliers</t>
  </si>
  <si>
    <t>Stocks of goods</t>
  </si>
  <si>
    <t>*** Stocks of goods</t>
  </si>
  <si>
    <t>Providers Except The EEC</t>
  </si>
  <si>
    <t>Office equipment damping &amp; information</t>
  </si>
  <si>
    <t>Amortissement Mobilier</t>
  </si>
  <si>
    <t xml:space="preserve">Formation and Seminars </t>
  </si>
  <si>
    <t>Amortissement Outillage Industriel</t>
  </si>
  <si>
    <t>Palatine Repair</t>
  </si>
  <si>
    <t>Maintenance Buildings</t>
  </si>
  <si>
    <t>Maintenance Alarms</t>
  </si>
  <si>
    <t>Fees registrations</t>
  </si>
  <si>
    <t>*** Taxes, taxes, towards equivalents</t>
  </si>
  <si>
    <t>A/P  other than EC and cleanair</t>
  </si>
  <si>
    <t>Displacement Farid Maache</t>
  </si>
  <si>
    <t>Dot/amort. immob. corporelles</t>
  </si>
  <si>
    <t>681</t>
  </si>
  <si>
    <t>Contribution CAVCIC</t>
  </si>
  <si>
    <t xml:space="preserve"> ** Loads Social security and Prév</t>
  </si>
  <si>
    <t>70756000</t>
  </si>
  <si>
    <t>Ventes SP Express</t>
  </si>
  <si>
    <t>70756280</t>
  </si>
  <si>
    <t>Income before provision for income taxes</t>
  </si>
  <si>
    <t>*** Installations tech mat. Outillage</t>
  </si>
  <si>
    <t>Industrial Tools</t>
  </si>
  <si>
    <t>Hammer</t>
  </si>
  <si>
    <t>Month
Express Sales</t>
  </si>
  <si>
    <t xml:space="preserve">
 Month Profit</t>
  </si>
  <si>
    <t>Depots et cautionnements verses</t>
  </si>
  <si>
    <t>51243000</t>
  </si>
  <si>
    <t>CICUSD</t>
  </si>
  <si>
    <t>512</t>
  </si>
  <si>
    <t>** Banques</t>
  </si>
  <si>
    <t>51</t>
  </si>
  <si>
    <t>Materiel de bureau &amp; Informatique</t>
  </si>
  <si>
    <t>Furniture</t>
  </si>
  <si>
    <t>Total Fixed Assets</t>
  </si>
  <si>
    <t>Stocks de marchandises</t>
  </si>
  <si>
    <t xml:space="preserve"> Intérets Cte Current</t>
  </si>
  <si>
    <t>Deposits and guarantees pour</t>
  </si>
  <si>
    <t>Deposits</t>
  </si>
  <si>
    <t>*** Autres Immobilisations Financ.</t>
  </si>
  <si>
    <t>Other Assets</t>
  </si>
  <si>
    <t>Return on Average Assets</t>
  </si>
  <si>
    <t>∆ Squared</t>
  </si>
  <si>
    <t xml:space="preserve">Movements of capital </t>
  </si>
  <si>
    <t>Bank charges</t>
  </si>
  <si>
    <t>Capital &amp; Reserves</t>
  </si>
  <si>
    <t>FRANCE TERM LOAN - CURRENT</t>
  </si>
  <si>
    <t>ACCUMULATED SALARIES PAYABLE</t>
  </si>
  <si>
    <t>&lt;0%</t>
  </si>
  <si>
    <t>42100000</t>
  </si>
  <si>
    <t>Growth</t>
  </si>
  <si>
    <t>Premiums of insurance</t>
  </si>
  <si>
    <t>CAE, Inc   96</t>
  </si>
  <si>
    <t xml:space="preserve">MORTGAGE - CURRENT PORTION </t>
  </si>
  <si>
    <t>France Rental + Field Sales</t>
  </si>
  <si>
    <t>??</t>
  </si>
  <si>
    <t xml:space="preserve">WITHHELD SOCIAL SECURITY TAX </t>
  </si>
  <si>
    <t>Capital</t>
  </si>
  <si>
    <t>Cash</t>
  </si>
  <si>
    <t>EBIT/SALES</t>
  </si>
  <si>
    <t>ACCOUNTS RECEIVABLE - FRANCE</t>
  </si>
  <si>
    <t>EBIT per employee</t>
  </si>
  <si>
    <t>deprecation</t>
  </si>
  <si>
    <t>VEHICLES</t>
  </si>
  <si>
    <t>TOTAL</t>
  </si>
  <si>
    <t>Fournisseurs - avances et acomptes</t>
  </si>
  <si>
    <t>40</t>
  </si>
  <si>
    <t>Debt</t>
  </si>
  <si>
    <t>Constants</t>
  </si>
  <si>
    <t xml:space="preserve">RENTAL EQUIPMENT </t>
  </si>
  <si>
    <t xml:space="preserve">TOTAL </t>
  </si>
  <si>
    <t>Lines</t>
  </si>
  <si>
    <t>DIVIDENDS DECLARED</t>
  </si>
  <si>
    <t>`</t>
  </si>
  <si>
    <t>Less Bank DEBT</t>
  </si>
  <si>
    <t>Value Book</t>
  </si>
  <si>
    <t>ACCOUNTS-PAYABLE</t>
  </si>
  <si>
    <t>EQUIPMENT-TERM-CURRENT</t>
  </si>
  <si>
    <t>Matériel Industriel FR</t>
  </si>
  <si>
    <t>21540900</t>
  </si>
  <si>
    <t>Assets - Bldg</t>
  </si>
  <si>
    <t>LOI up to $630,000</t>
  </si>
  <si>
    <t xml:space="preserve">LOI Debt up to $1.05M </t>
  </si>
  <si>
    <t>Building Related &amp; LT</t>
  </si>
  <si>
    <t>Sales Correction</t>
  </si>
  <si>
    <t>Retained Earnings (from other years)</t>
  </si>
  <si>
    <t xml:space="preserve">Because of the initial losses, I've been reluctant to hire a full-time person and grow.  What I'm really thinking of here is large growth for the lab .....going from $260k/yr to over $500k/yr within the first year. (Selling just one field GC project/month would probably do this). </t>
  </si>
  <si>
    <t xml:space="preserve"> Douglas D. Rhoades </t>
  </si>
  <si>
    <t>Doug,</t>
  </si>
  <si>
    <t xml:space="preserve">Sales </t>
  </si>
  <si>
    <t>2001
rolling 12 Mo</t>
  </si>
  <si>
    <t>Emballages récupérables</t>
  </si>
  <si>
    <t>218</t>
  </si>
  <si>
    <t xml:space="preserve">Team Partnering Progress2 </t>
  </si>
  <si>
    <t>Trailing 12 Months Dec 99</t>
  </si>
  <si>
    <t>LOI Adjustment</t>
  </si>
  <si>
    <t>*** Stocks de marchandises</t>
  </si>
  <si>
    <t>3</t>
  </si>
  <si>
    <t>Rental Profit after 14% OVH</t>
  </si>
  <si>
    <t>61560900</t>
  </si>
  <si>
    <t>*** Etats et autres collectiv</t>
  </si>
  <si>
    <t>States and other collectived</t>
  </si>
  <si>
    <t xml:space="preserve">COMMON STOCK ISSUED </t>
  </si>
  <si>
    <t>Last 12 months rolling data.</t>
  </si>
  <si>
    <t>TVA Taxes accounts</t>
  </si>
  <si>
    <t>Gross profit</t>
  </si>
  <si>
    <t>Income from operations</t>
  </si>
  <si>
    <t>Emballages recuperables</t>
  </si>
  <si>
    <t>Packaging reusable ???</t>
  </si>
  <si>
    <t>Associes Comptes courants</t>
  </si>
  <si>
    <t xml:space="preserve"> Ptévoyance Contribution</t>
  </si>
  <si>
    <t xml:space="preserve"> Cot  mutual insurance companies</t>
  </si>
  <si>
    <t>Contributions CIRRSE</t>
  </si>
  <si>
    <t>62330900</t>
  </si>
  <si>
    <t>Conférence</t>
  </si>
  <si>
    <t>62340000</t>
  </si>
  <si>
    <t>Cadeaux Clients</t>
  </si>
  <si>
    <t>62410000</t>
  </si>
  <si>
    <t>Transport Achats non refacturés</t>
  </si>
  <si>
    <t>62412900</t>
  </si>
  <si>
    <t>*** Personnel &amp; comptes rattachés</t>
  </si>
  <si>
    <t>FRANCE-TERM-CURRENT</t>
  </si>
  <si>
    <t>LTD Sales $</t>
  </si>
  <si>
    <t>LTD</t>
  </si>
  <si>
    <t>LTD  £</t>
  </si>
  <si>
    <t>CURRENT LIABILITIES</t>
  </si>
  <si>
    <t>A/P + A/L</t>
  </si>
  <si>
    <t xml:space="preserve">PREPAID - OTHER </t>
  </si>
  <si>
    <t>60232900</t>
  </si>
  <si>
    <t>Fourniture Location Palatine</t>
  </si>
  <si>
    <t>TOTAL CURRENT LIABILITIES</t>
  </si>
  <si>
    <t>Packing</t>
  </si>
  <si>
    <t>Shipping Supplies ???</t>
  </si>
  <si>
    <t>Office equipment &amp; data processing</t>
  </si>
  <si>
    <t>Divers Photocopieuse</t>
  </si>
  <si>
    <t>61810000</t>
  </si>
  <si>
    <t>Fourniture et Location CEE</t>
  </si>
  <si>
    <t xml:space="preserve">Carry forward </t>
  </si>
  <si>
    <t>General installations</t>
  </si>
  <si>
    <t>12 month rolling end Dec 2001</t>
  </si>
  <si>
    <t>Refacturation Travel CEE</t>
  </si>
  <si>
    <t>70640000</t>
  </si>
  <si>
    <t>Mesures Terrain</t>
  </si>
  <si>
    <t>70642700</t>
  </si>
  <si>
    <t>Amortissement Concessions et droits ...</t>
  </si>
  <si>
    <t>ACCRUED-EXPENSES-MISC.</t>
  </si>
  <si>
    <t>Displacements, missions, receptions</t>
  </si>
  <si>
    <t>Voyages and Displacements</t>
  </si>
  <si>
    <t>**Tech installations, Hardware, Tools</t>
  </si>
  <si>
    <t>Transport sur Location</t>
  </si>
  <si>
    <t>Providers intracom</t>
  </si>
  <si>
    <t>Amortissement Emballages récupérables</t>
  </si>
  <si>
    <t xml:space="preserve">Providers - advances and installments </t>
  </si>
  <si>
    <t>62430000</t>
  </si>
  <si>
    <t>Transport entre Etablissements</t>
  </si>
  <si>
    <t>62440000</t>
  </si>
  <si>
    <t>Current Liabilities (total)</t>
  </si>
  <si>
    <t>Movable Damping</t>
  </si>
  <si>
    <t>Transport Palatine</t>
  </si>
  <si>
    <t>62420500</t>
  </si>
  <si>
    <t>Transport sur Ventes</t>
  </si>
  <si>
    <t>62420600</t>
  </si>
  <si>
    <t>Charges de gestion courante</t>
  </si>
  <si>
    <t>65</t>
  </si>
  <si>
    <t>** Amortissement Immobilisations corporelles</t>
  </si>
  <si>
    <t>** Damping Tangible fixed assets</t>
  </si>
  <si>
    <t>Base Decrease</t>
  </si>
  <si>
    <t>Matière ou Groupe C</t>
  </si>
  <si>
    <t>32600000</t>
  </si>
  <si>
    <t>32</t>
  </si>
  <si>
    <t>37000000</t>
  </si>
  <si>
    <t>No Participation4</t>
  </si>
  <si>
    <t>66100000</t>
  </si>
  <si>
    <t>Charges d'intérêts</t>
  </si>
  <si>
    <t>Trailing 12 Months Sep 98</t>
  </si>
  <si>
    <t>*** Charges exceptionnelles</t>
  </si>
  <si>
    <r>
      <t>Share Price</t>
    </r>
    <r>
      <rPr>
        <b/>
        <i/>
        <sz val="9"/>
        <color indexed="17"/>
        <rFont val="Geneva"/>
      </rPr>
      <t>(after10:1 split)</t>
    </r>
  </si>
  <si>
    <t xml:space="preserve">ACCRUED VACATION PAY </t>
  </si>
  <si>
    <t>France #</t>
  </si>
  <si>
    <t>FR Name</t>
  </si>
  <si>
    <t>Common Stock Par Value</t>
  </si>
  <si>
    <t>Net income</t>
  </si>
  <si>
    <t>1988 x dec</t>
  </si>
  <si>
    <t>Cost Cut</t>
  </si>
  <si>
    <t>4 Qtrs</t>
  </si>
  <si>
    <t>Prior 4 Qtrs</t>
  </si>
  <si>
    <t>Mobilier</t>
  </si>
  <si>
    <t>TOTAL NET FIXED ASSETS</t>
  </si>
  <si>
    <t>MAXIMUMS</t>
  </si>
  <si>
    <t xml:space="preserve">RESERVE FOR OBSOLESCENCE </t>
  </si>
  <si>
    <t>WITHHELD IL INCOME TAX</t>
  </si>
  <si>
    <t>WITHHELD PA INCOME TAX</t>
  </si>
  <si>
    <t>99 YTD xJAn</t>
  </si>
  <si>
    <t>*** Capital &amp; Report reserves again (debtor) Loans auprès étab. credit *** comparable Emprunts &amp; debts *** STOCK-ACCOUNTS Concessions and rights similar. *** Intangible fixed assets industrial Matériel HO</t>
  </si>
  <si>
    <t>*** Capital &amp; réserves</t>
  </si>
  <si>
    <t>11900000</t>
  </si>
  <si>
    <t xml:space="preserve"> Losses on transactions on foreign currency</t>
  </si>
  <si>
    <t xml:space="preserve"> Variation of Euro conversion - Load</t>
  </si>
  <si>
    <t>28183000</t>
  </si>
  <si>
    <t xml:space="preserve">ACCUMULATED SALARIES PAYABLE </t>
  </si>
  <si>
    <t>** Fournisseurs et comptes rattaché</t>
  </si>
  <si>
    <t>41100000</t>
  </si>
  <si>
    <t>Maintenance Software</t>
  </si>
  <si>
    <t>60640000</t>
  </si>
  <si>
    <t>53140000</t>
  </si>
  <si>
    <t>AVG</t>
  </si>
  <si>
    <t>Trailing 12 Months Dec 98</t>
  </si>
  <si>
    <t>Return on Average Equity (EBIBA)</t>
  </si>
  <si>
    <t>A/P</t>
  </si>
  <si>
    <t>61500000</t>
  </si>
  <si>
    <t>Net Assets - Bldg</t>
  </si>
  <si>
    <t xml:space="preserve">LOI A/R &lt;$3.4M </t>
  </si>
  <si>
    <t>Charges locatives Bureau</t>
  </si>
  <si>
    <t>EBITDA/SALES</t>
  </si>
  <si>
    <t>Intercompany A/P</t>
  </si>
  <si>
    <t>Oct</t>
  </si>
  <si>
    <t>EQUIPMENT TERM LOANS-NONCURRENT</t>
  </si>
  <si>
    <t>Fournisseurs Hors CEE</t>
  </si>
  <si>
    <t>40910000</t>
  </si>
  <si>
    <t>Entretien et réparations</t>
  </si>
  <si>
    <t>61502800</t>
  </si>
  <si>
    <t>Réparations CEE</t>
  </si>
  <si>
    <t>61502900</t>
  </si>
  <si>
    <t>Réparation Palatine</t>
  </si>
  <si>
    <t>61520000</t>
  </si>
  <si>
    <t>Entretien Locaux</t>
  </si>
  <si>
    <t>61560000</t>
  </si>
  <si>
    <t>ANNUAL DATA</t>
  </si>
  <si>
    <t>12m Sales Inc</t>
  </si>
  <si>
    <t>TOTAL CASH</t>
  </si>
  <si>
    <t xml:space="preserve">ACCOUNTS RECEIVABLE </t>
  </si>
  <si>
    <t>ACCOUNTS-FRANCE</t>
  </si>
  <si>
    <t>Dot/Amortissement immob. corporelles</t>
  </si>
  <si>
    <t xml:space="preserve"> Dot/Amortissement immob body </t>
  </si>
  <si>
    <t xml:space="preserve">** Dowry amort &amp; prov Exploitation </t>
  </si>
  <si>
    <t>Matériel industriel HO</t>
  </si>
  <si>
    <t>21540100</t>
  </si>
  <si>
    <t>Prov. Comptes de clients</t>
  </si>
  <si>
    <t>Réserve légale</t>
  </si>
  <si>
    <t>10</t>
  </si>
  <si>
    <t>Charges constatees advance</t>
  </si>
  <si>
    <t>Solde €</t>
  </si>
  <si>
    <t>Solde FRF</t>
  </si>
  <si>
    <t>Addition Paid in Capital</t>
  </si>
  <si>
    <t>28186000</t>
  </si>
  <si>
    <t>*** Comptes de régularisation</t>
  </si>
  <si>
    <t>401K P/R DEDUCTIONS &amp; CONTRIBUTIONS</t>
  </si>
  <si>
    <t>Total Sales</t>
  </si>
  <si>
    <t>215</t>
  </si>
  <si>
    <t>Fournitures administratives</t>
  </si>
  <si>
    <t>60680000</t>
  </si>
  <si>
    <t>Autres matères et four. à 19,6%</t>
  </si>
  <si>
    <t>Team Quality Progress2</t>
  </si>
  <si>
    <t>Team Innovation Progress2</t>
  </si>
  <si>
    <t>ACCRUED UNEMPL TAX (FEDERAL &amp; STATE)</t>
  </si>
  <si>
    <t>GROUP INSURANCE DEDUCTIONS</t>
  </si>
  <si>
    <t>Federal "C" corporation tax rate schedule for 2001</t>
  </si>
  <si>
    <t>60700000</t>
  </si>
  <si>
    <t>Amort. Matériel de bureau &amp; info.</t>
  </si>
  <si>
    <t>28154900</t>
  </si>
  <si>
    <t>LOAN PAYABLE - WORKING CAPITAL</t>
  </si>
  <si>
    <t>Team  – 4 Quarter Rolling Sales Increase</t>
  </si>
  <si>
    <t>&gt;30%</t>
  </si>
  <si>
    <t>&gt;15%</t>
  </si>
  <si>
    <t>Tax</t>
  </si>
  <si>
    <t>Gross revenue</t>
  </si>
  <si>
    <t>Costs of revenue</t>
  </si>
  <si>
    <t>16</t>
  </si>
  <si>
    <t>*** Emprunts &amp; dettes assimilés</t>
  </si>
  <si>
    <t>1</t>
  </si>
  <si>
    <t>*** COMPTES STOCKS &amp; EN-COURS</t>
  </si>
  <si>
    <t>40100000</t>
  </si>
  <si>
    <t>Fournisseurs</t>
  </si>
  <si>
    <t>401CEE00</t>
  </si>
  <si>
    <t>ACCOUNTS PAYABLE EXTERNAL</t>
  </si>
  <si>
    <t xml:space="preserve">40 - CAE A/P </t>
  </si>
  <si>
    <t>Associed CC: CAE</t>
  </si>
  <si>
    <t>1st</t>
  </si>
  <si>
    <t>1st Q</t>
  </si>
  <si>
    <t>2nd</t>
  </si>
  <si>
    <t>2nd Q</t>
  </si>
  <si>
    <t>3rd</t>
  </si>
  <si>
    <t>3rd Q</t>
  </si>
  <si>
    <t>4th</t>
  </si>
  <si>
    <t>4th Q</t>
  </si>
  <si>
    <t>F factor  for EFCG &amp;  EBIT</t>
  </si>
  <si>
    <t>Participation pay results</t>
  </si>
  <si>
    <t xml:space="preserve">TOTAL ASSETS </t>
  </si>
  <si>
    <t>Damping Industrial Chechmate The EEC</t>
  </si>
  <si>
    <t>Professional Tax</t>
  </si>
  <si>
    <t>12M Rolling S</t>
  </si>
  <si>
    <t>Pain Hammer</t>
  </si>
  <si>
    <t>*** Autres immob. corporelles</t>
  </si>
  <si>
    <t>Base Increased</t>
  </si>
  <si>
    <t>*** Groupe et associes</t>
  </si>
  <si>
    <t>Stock Marchandises Palatine</t>
  </si>
  <si>
    <t>37</t>
  </si>
  <si>
    <t>Prior 4Q avg</t>
  </si>
  <si>
    <t xml:space="preserve">INVENTORY </t>
  </si>
  <si>
    <t>US Balance Sheet Totals</t>
  </si>
  <si>
    <t>61850000</t>
  </si>
  <si>
    <t>Moving UCL</t>
  </si>
  <si>
    <t xml:space="preserve">Break even @ 21% </t>
  </si>
  <si>
    <t>Team QIP Award Winner</t>
  </si>
  <si>
    <t xml:space="preserve">INTERCOMPANY A/R - FRANCE </t>
  </si>
  <si>
    <t>*** Autres approvisionnements</t>
  </si>
  <si>
    <t>Various Photocopier</t>
  </si>
  <si>
    <t>General Documentation</t>
  </si>
  <si>
    <t>401HCEE0</t>
  </si>
  <si>
    <t>Clients</t>
  </si>
  <si>
    <t>411CEE00</t>
  </si>
  <si>
    <t>Indemnités avantages divers</t>
  </si>
  <si>
    <t>641</t>
  </si>
  <si>
    <t>67200000</t>
  </si>
  <si>
    <t>Charges /exercices antérieurs</t>
  </si>
  <si>
    <t>67</t>
  </si>
  <si>
    <t>28184000</t>
  </si>
  <si>
    <t>Amort. Mobilier</t>
  </si>
  <si>
    <t>GROUP-INSURANCE</t>
  </si>
  <si>
    <t>YTD Sales</t>
  </si>
  <si>
    <t>&lt;$525,000</t>
  </si>
  <si>
    <t xml:space="preserve"> </t>
  </si>
  <si>
    <t>Interest expense</t>
  </si>
  <si>
    <t>Quarter
Express Sales</t>
  </si>
  <si>
    <t>Rolling 12m Sales</t>
  </si>
  <si>
    <t>DIVIDENDS PAYABLE</t>
  </si>
  <si>
    <t xml:space="preserve">However, I then run into a problem of investment vs. the dept's need for immediate profits.  I figure it might take me six-nine months to get something really going.  The whole time not really making any profits (probably losses for a couple of months).  </t>
  </si>
  <si>
    <t>A/P External</t>
  </si>
  <si>
    <t>** Amort. Immob. corporelles</t>
  </si>
  <si>
    <t>28</t>
  </si>
  <si>
    <t>** Amort. Immobilisations</t>
  </si>
  <si>
    <t>2</t>
  </si>
  <si>
    <t>*** COMPTES D'IMMOBILISATIONS</t>
  </si>
  <si>
    <t>32100000</t>
  </si>
  <si>
    <t>Participation3</t>
  </si>
  <si>
    <t>ACCRUED-UNEMPL</t>
  </si>
  <si>
    <t>MORTGAGE-CURRENT</t>
  </si>
  <si>
    <t>Team Based</t>
  </si>
  <si>
    <t>Sales ∆%</t>
  </si>
  <si>
    <t>France A/R</t>
  </si>
  <si>
    <t>Intercompany</t>
  </si>
  <si>
    <t>WITHHELD SOCIAL SECURITY TAX</t>
  </si>
  <si>
    <t>Equip Line cur</t>
  </si>
  <si>
    <t>Employees (avg. FT equivalent)</t>
  </si>
  <si>
    <t>Reserves legal</t>
  </si>
  <si>
    <t>68112000</t>
  </si>
  <si>
    <t xml:space="preserve">ACCRUED PROPERTY TAX </t>
  </si>
  <si>
    <t xml:space="preserve">LEASEHOLD IMPROVEMENTS </t>
  </si>
  <si>
    <t xml:space="preserve">MACHINERY &amp; EQUIPMENT </t>
  </si>
  <si>
    <t>UNBILLED RECEIVABLE</t>
  </si>
  <si>
    <t>Other tangible fixed assets</t>
  </si>
  <si>
    <t>Common Stock Issued</t>
  </si>
  <si>
    <t>Pertes de change</t>
  </si>
  <si>
    <t>Intérets Cte Courant</t>
  </si>
  <si>
    <t>66600000</t>
  </si>
  <si>
    <t>Ecart de conversion Euro - Charge</t>
  </si>
  <si>
    <t>66</t>
  </si>
  <si>
    <t>*** Charges financières</t>
  </si>
  <si>
    <t>SMCEUR</t>
  </si>
  <si>
    <t>Percent</t>
  </si>
  <si>
    <t>RENTAL EQUIPMENT</t>
  </si>
  <si>
    <t>I've recently invested over $20,000 in this area with plans to invest more. I'd like to come up with a better plan of attack .</t>
  </si>
  <si>
    <t>EBITA</t>
  </si>
  <si>
    <t>Interest</t>
  </si>
  <si>
    <t>FURNITURE &amp; FIXTURES</t>
  </si>
  <si>
    <t>Capital Cost Rate Capital</t>
  </si>
  <si>
    <t xml:space="preserve">UNBILLED RECEIVABLE </t>
  </si>
  <si>
    <t>Reserve legale</t>
  </si>
  <si>
    <t>Maintenance Extinguisher</t>
  </si>
  <si>
    <t>Amort. Outillage Industriel</t>
  </si>
  <si>
    <t>28181000</t>
  </si>
  <si>
    <t>Amort. Installations générales</t>
  </si>
  <si>
    <t>Documentation Générale</t>
  </si>
  <si>
    <t>Nut for month</t>
  </si>
  <si>
    <t>Nut 12 month  Roll avg</t>
  </si>
  <si>
    <t>Clients Intracom.</t>
  </si>
  <si>
    <t>41600000</t>
  </si>
  <si>
    <t>41</t>
  </si>
  <si>
    <t>times FACTOR2</t>
  </si>
  <si>
    <t>Aggregate Value2</t>
  </si>
  <si>
    <t>Less DEBT</t>
  </si>
  <si>
    <t>Zero Profit Line</t>
  </si>
  <si>
    <t>-</t>
  </si>
  <si>
    <t>These published Nov 2010 &amp; republished Feb 2010</t>
  </si>
  <si>
    <t>2007 Stetch</t>
  </si>
  <si>
    <t>Accum Salaries</t>
  </si>
  <si>
    <t>Quarter Ending</t>
  </si>
  <si>
    <t>Qtr Sales</t>
  </si>
  <si>
    <t>Qtr Profit</t>
  </si>
  <si>
    <t>*** Autres immobilisations financ.</t>
  </si>
  <si>
    <t>*** Charges du personnel</t>
  </si>
  <si>
    <t>65800000</t>
  </si>
  <si>
    <t>Damping recoverable Packing</t>
  </si>
  <si>
    <t>OBLIGATIONS-UNDER-CAPITAL-LEASES</t>
  </si>
  <si>
    <t>LTD  $</t>
  </si>
  <si>
    <t xml:space="preserve">CASH - FRANCE </t>
  </si>
  <si>
    <t xml:space="preserve">PETTY CASH </t>
  </si>
  <si>
    <t xml:space="preserve">ALLOWANCE FOR DOUBTFUL ACCOUNTS </t>
  </si>
  <si>
    <t>Médecine du Travail</t>
  </si>
  <si>
    <t>64800000</t>
  </si>
  <si>
    <t>Autres charges de Personnel</t>
  </si>
  <si>
    <t>TOTAL CORPORATE EQUITY</t>
  </si>
  <si>
    <t>TOTAL LIABILITIES &amp; EQUITY</t>
  </si>
  <si>
    <t>Closed</t>
  </si>
  <si>
    <t>Other accounts debiteurs crediteurs</t>
  </si>
  <si>
    <t>*** Autres charges de gestion</t>
  </si>
  <si>
    <t>Dividend Payable</t>
  </si>
  <si>
    <r>
      <t xml:space="preserve">% Sales  </t>
    </r>
    <r>
      <rPr>
        <sz val="12"/>
        <rFont val="Geneva"/>
      </rPr>
      <t>∆</t>
    </r>
  </si>
  <si>
    <t>51211000</t>
  </si>
  <si>
    <t>SMCFRF</t>
  </si>
  <si>
    <t>51212000</t>
  </si>
  <si>
    <t>Rental Depreciated Assets</t>
  </si>
  <si>
    <t>ADDITIONAL PAID IN CAPITAL</t>
  </si>
  <si>
    <t>RETAINED EARNINGS</t>
  </si>
  <si>
    <t>ESTIMATED DIVIDENDS</t>
  </si>
  <si>
    <t>CURRENT YEAR PROFIT(LOSS)</t>
  </si>
  <si>
    <t>NE</t>
  </si>
  <si>
    <t>Amort. Emballages récupérables</t>
  </si>
  <si>
    <t xml:space="preserve"> Contributions ASSEDIC</t>
  </si>
  <si>
    <t>Damping Concessions and rights</t>
  </si>
  <si>
    <t>EBITDA</t>
  </si>
  <si>
    <r>
      <t>EBI "</t>
    </r>
    <r>
      <rPr>
        <b/>
        <sz val="10"/>
        <rFont val="Geneva"/>
      </rPr>
      <t xml:space="preserve">B" </t>
    </r>
    <r>
      <rPr>
        <sz val="10"/>
        <rFont val="Geneva"/>
      </rPr>
      <t>T (EFCG)</t>
    </r>
  </si>
  <si>
    <t>ALLOWANCE FOR DOUBTFUL ACCOUNTS</t>
  </si>
  <si>
    <t>Through Dec 2001</t>
  </si>
  <si>
    <t>Trailing 12 Months Sep 99</t>
  </si>
  <si>
    <t>*** Securite Social et autres</t>
  </si>
  <si>
    <t xml:space="preserve">ACCOUNTS PAYABLE </t>
  </si>
  <si>
    <t>Dépôts et cautionnements versés</t>
  </si>
  <si>
    <t xml:space="preserve">Debit </t>
  </si>
  <si>
    <t>Credit</t>
  </si>
  <si>
    <t>10100000</t>
  </si>
  <si>
    <t xml:space="preserve">Capital  </t>
  </si>
  <si>
    <t>10610000</t>
  </si>
  <si>
    <t>Average A/R in days</t>
  </si>
  <si>
    <t xml:space="preserve">FURNITURE &amp; FIXTURES </t>
  </si>
  <si>
    <t>English Trans</t>
  </si>
  <si>
    <t>17.33% of Sales</t>
  </si>
  <si>
    <t>Marsielle
Rental
Profit, $</t>
  </si>
  <si>
    <t>Liz price</t>
  </si>
  <si>
    <t>CASH IN BANK</t>
  </si>
  <si>
    <t xml:space="preserve">CASH IN BANK </t>
  </si>
  <si>
    <t>CAE  – 4 Quarter Rolling Profit Increase</t>
  </si>
  <si>
    <t>CAE  – 4 Quarter Rolling Sales Increase</t>
  </si>
  <si>
    <t>61560100</t>
  </si>
  <si>
    <t>Maintenance Extincteur</t>
  </si>
  <si>
    <t>PREPAID INSURANCE-GROUP</t>
  </si>
  <si>
    <t xml:space="preserve">OBLIGATIONS UNDER CAPITAL LEASES </t>
  </si>
  <si>
    <t>16400000</t>
  </si>
  <si>
    <t>Emprunts auprès étab. crédit</t>
  </si>
  <si>
    <t>EQUIPMENT TERM LOANS - CURRENT</t>
  </si>
  <si>
    <t>Outillage industriel</t>
  </si>
  <si>
    <t>Caisse USD</t>
  </si>
  <si>
    <t>53</t>
  </si>
  <si>
    <t>*** Caisse</t>
  </si>
  <si>
    <t>58000000</t>
  </si>
  <si>
    <t>** Rémunérations du personnel</t>
  </si>
  <si>
    <t>Repairs The EEC</t>
  </si>
  <si>
    <t>CORPORATE EQUITY</t>
  </si>
  <si>
    <t xml:space="preserve">PREPAID INSURANCE-GROUP </t>
  </si>
  <si>
    <t>Profit aft 9/98</t>
  </si>
  <si>
    <t>Trend</t>
  </si>
  <si>
    <t>Moving LCL</t>
  </si>
  <si>
    <t>P&amp;P Bonuses Paid</t>
  </si>
  <si>
    <t>5 yr roll</t>
  </si>
  <si>
    <t>running total</t>
  </si>
  <si>
    <t>LTD 1995</t>
  </si>
  <si>
    <t>Current Profit</t>
  </si>
  <si>
    <t>2007 Actual Year</t>
  </si>
  <si>
    <t xml:space="preserve">2008 Actual Year </t>
  </si>
  <si>
    <t xml:space="preserve">2009 Actual Year </t>
  </si>
  <si>
    <t>2010 Base</t>
  </si>
  <si>
    <t>2010 Stretch</t>
  </si>
  <si>
    <t>2010 Actual</t>
  </si>
  <si>
    <t>QIP Audit Team</t>
  </si>
  <si>
    <t>&gt;20%</t>
  </si>
  <si>
    <t>&gt;10%</t>
  </si>
  <si>
    <t>Team  – 4 Quarter Rolling Profit Increase</t>
  </si>
  <si>
    <t>A/R</t>
  </si>
  <si>
    <t>12 Mo Roll Sale Tot</t>
  </si>
  <si>
    <t>Exchange Var</t>
  </si>
  <si>
    <t>------------------- -------------------</t>
  </si>
  <si>
    <t>OBLIGATIONS UNDER CAPITAL LEASES</t>
  </si>
  <si>
    <t>MORTGAGE - CURRENT PORTION</t>
  </si>
  <si>
    <t>Maintenance Alarmes</t>
  </si>
  <si>
    <t>Report à nouveau (débiteur)</t>
  </si>
  <si>
    <t>% Profit</t>
  </si>
  <si>
    <t>CAE Express Sales</t>
  </si>
  <si>
    <t>Range</t>
  </si>
  <si>
    <t>UCL</t>
  </si>
  <si>
    <t>LCL</t>
  </si>
  <si>
    <t>4 Qtr Avg</t>
  </si>
  <si>
    <t>A/R Ageing / 12m Sales, Days</t>
  </si>
  <si>
    <t>INTERCOMPANY A/P - FRANCE</t>
  </si>
  <si>
    <t>ACCRUED AUDIT FEES</t>
  </si>
  <si>
    <r>
      <t xml:space="preserve">France </t>
    </r>
    <r>
      <rPr>
        <sz val="12"/>
        <rFont val="Geneva"/>
      </rPr>
      <t>∆</t>
    </r>
    <r>
      <rPr>
        <sz val="10"/>
        <rFont val="Geneva"/>
      </rPr>
      <t xml:space="preserve"> WIP Sales</t>
    </r>
  </si>
  <si>
    <t>France Equip Sales</t>
  </si>
  <si>
    <t>Company</t>
  </si>
  <si>
    <t xml:space="preserve">Profit as % </t>
  </si>
  <si>
    <t>of Sales</t>
  </si>
  <si>
    <t>2008 Base</t>
  </si>
  <si>
    <t>2008 Stretch</t>
  </si>
  <si>
    <t>2008 Actual Year (Rolling 12 as of 11/08)</t>
  </si>
  <si>
    <t>2009 Base</t>
  </si>
  <si>
    <t>2009 Stretch</t>
  </si>
  <si>
    <t>2010  (has no Appendix K sales just costs)</t>
  </si>
  <si>
    <t xml:space="preserve">2011 Numbers for Source not realistic. </t>
  </si>
  <si>
    <t>PS Bonuses Paid</t>
  </si>
  <si>
    <t>Rolling 12m P</t>
  </si>
  <si>
    <t>Damping Industrial Chechmate CAE</t>
  </si>
  <si>
    <t xml:space="preserve">LAND &amp; BUILDINGS </t>
  </si>
  <si>
    <t>Q sales</t>
  </si>
  <si>
    <t>Low</t>
  </si>
  <si>
    <t>Autres comptes debiteurs / crediteurs</t>
  </si>
  <si>
    <t xml:space="preserve">TOTAL CORPORATE EQUITY </t>
  </si>
  <si>
    <t>Max</t>
  </si>
  <si>
    <t>Amort. Mat. Industriel CEE</t>
  </si>
  <si>
    <t>28155200</t>
  </si>
  <si>
    <t>Amort. Mat. Industriel CAE</t>
  </si>
  <si>
    <t>28156000</t>
  </si>
  <si>
    <t>27</t>
  </si>
  <si>
    <t>64</t>
  </si>
  <si>
    <t>Damping Tools Industrialist</t>
  </si>
  <si>
    <t>COMMON STOCK + APIC</t>
  </si>
  <si>
    <t>CURRENT YEAR POFIT/LOSS</t>
  </si>
  <si>
    <t>TOTAL EQUITY</t>
  </si>
  <si>
    <t>Stock Goods from Palatine</t>
  </si>
  <si>
    <t>Fees</t>
  </si>
  <si>
    <t>Expenses Acts and Dispute</t>
  </si>
  <si>
    <t>42400000</t>
  </si>
  <si>
    <t xml:space="preserve"> CH Patronnales S / CP </t>
  </si>
  <si>
    <t>*** ACCOUNTS STOCKS &amp; WORK-IN-PROGRESS</t>
  </si>
  <si>
    <t>66150000</t>
  </si>
  <si>
    <t>281</t>
  </si>
  <si>
    <t xml:space="preserve">I didn't bring this up at the meeting last Thursday, but I envision Field GC work as my largest potential avenue for growth. </t>
  </si>
  <si>
    <t>CASH - FRANCE</t>
  </si>
  <si>
    <t>PETTY CASH</t>
  </si>
  <si>
    <t>ACCOUNTS RECEIVABLE</t>
  </si>
  <si>
    <t>$</t>
  </si>
  <si>
    <t>Euro</t>
  </si>
  <si>
    <t>Tangible fixed assets</t>
  </si>
  <si>
    <t>ACCRUED VACATION PAY</t>
  </si>
  <si>
    <t>Trigger</t>
  </si>
  <si>
    <t>Target</t>
  </si>
  <si>
    <t xml:space="preserve">24 month rolling profit </t>
  </si>
  <si>
    <t xml:space="preserve">ACCOUNTS PAYABLE - FRANCE </t>
  </si>
  <si>
    <t>Rolling 12m Profit</t>
  </si>
  <si>
    <t>ACCRUED PROPERTY TAX</t>
  </si>
  <si>
    <t>ACCRUED CORPORATE TAX</t>
  </si>
  <si>
    <t>ACCRUED EXPENSES - MISC.</t>
  </si>
  <si>
    <t>ACCRUED EXPENSES - FRANCE</t>
  </si>
  <si>
    <t>*** Clients et comptes rattachés</t>
  </si>
  <si>
    <t>MAX</t>
  </si>
  <si>
    <t>Field Sales 12 Months</t>
  </si>
  <si>
    <t>Rental Field</t>
  </si>
  <si>
    <t>Disposal</t>
  </si>
  <si>
    <t>WIP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</si>
</sst>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0%;[Red]\(0%\)"/>
    <numFmt numFmtId="166" formatCode="#,##0.0_);[Red]\(#,##0.0\)"/>
    <numFmt numFmtId="167" formatCode="\£#,##0_);\(\£#,##0\)"/>
    <numFmt numFmtId="168" formatCode="0.0%"/>
    <numFmt numFmtId="169" formatCode="#,##0.0000_);[Red]\(#,##0.0000\)"/>
    <numFmt numFmtId="170" formatCode="\+0.0%"/>
    <numFmt numFmtId="171" formatCode="_(* #,##0_);_(* \(#,##0\);_(* &quot;-&quot;??_);_(@_)"/>
    <numFmt numFmtId="172" formatCode="_(&quot;$&quot;* #,##0_);_(&quot;$&quot;* \(#,##0\);_(&quot;$&quot;* &quot;-&quot;??_);_(@_)"/>
    <numFmt numFmtId="173" formatCode="mmmmm"/>
    <numFmt numFmtId="174" formatCode="mmmm\-yy"/>
    <numFmt numFmtId="175" formatCode="General_)\Œ"/>
    <numFmt numFmtId="176" formatCode="_([$€-2]\ * #,##0.00_);_([$€-2]\ * \(#,##0.00\);_([$€-2]\ * &quot;-&quot;??_);_(@_)"/>
    <numFmt numFmtId="177" formatCode="_([$€-2]\ * #,##0_);_([$€-2]\ * \(#,##0\);_([$€-2]\ * &quot;-&quot;??_);_(@_)"/>
  </numFmts>
  <fonts count="76" x14ac:knownFonts="1">
    <font>
      <sz val="10"/>
      <name val="Geneva"/>
    </font>
    <font>
      <b/>
      <sz val="10"/>
      <name val="Geneva"/>
    </font>
    <font>
      <i/>
      <sz val="10"/>
      <name val="Geneva"/>
    </font>
    <font>
      <sz val="10"/>
      <name val="Geneva"/>
    </font>
    <font>
      <sz val="9"/>
      <name val="Geneva"/>
    </font>
    <font>
      <b/>
      <sz val="12"/>
      <name val="Geneva"/>
    </font>
    <font>
      <b/>
      <sz val="10"/>
      <name val="Geneva"/>
    </font>
    <font>
      <sz val="10"/>
      <color indexed="12"/>
      <name val="Geneva"/>
    </font>
    <font>
      <sz val="10"/>
      <color indexed="11"/>
      <name val="Geneva"/>
    </font>
    <font>
      <sz val="9"/>
      <color indexed="9"/>
      <name val="Geneva"/>
    </font>
    <font>
      <b/>
      <sz val="18"/>
      <color indexed="9"/>
      <name val="Geneva"/>
    </font>
    <font>
      <b/>
      <i/>
      <sz val="10"/>
      <color indexed="9"/>
      <name val="Geneva"/>
    </font>
    <font>
      <b/>
      <i/>
      <sz val="18"/>
      <color indexed="9"/>
      <name val="Geneva"/>
    </font>
    <font>
      <b/>
      <i/>
      <sz val="9"/>
      <color indexed="9"/>
      <name val="Geneva"/>
    </font>
    <font>
      <sz val="10"/>
      <color indexed="8"/>
      <name val="Geneva"/>
    </font>
    <font>
      <sz val="10"/>
      <color indexed="9"/>
      <name val="Geneva"/>
    </font>
    <font>
      <sz val="12"/>
      <color indexed="9"/>
      <name val="Geneva"/>
    </font>
    <font>
      <u/>
      <sz val="10"/>
      <name val="Geneva"/>
    </font>
    <font>
      <sz val="10"/>
      <name val="Courier"/>
      <family val="3"/>
    </font>
    <font>
      <sz val="10"/>
      <name val="Courier"/>
    </font>
    <font>
      <sz val="12"/>
      <name val="Courier"/>
    </font>
    <font>
      <sz val="10"/>
      <color indexed="62"/>
      <name val="Geneva"/>
    </font>
    <font>
      <sz val="9"/>
      <color indexed="62"/>
      <name val="Geneva"/>
    </font>
    <font>
      <b/>
      <sz val="9"/>
      <name val="Geneva"/>
    </font>
    <font>
      <u/>
      <sz val="12"/>
      <name val="Courier"/>
    </font>
    <font>
      <sz val="10"/>
      <color indexed="10"/>
      <name val="Geneva"/>
    </font>
    <font>
      <sz val="12"/>
      <name val="Geneva"/>
    </font>
    <font>
      <sz val="9"/>
      <color indexed="81"/>
      <name val="Geneva"/>
    </font>
    <font>
      <sz val="10"/>
      <name val="Geneva"/>
    </font>
    <font>
      <sz val="10"/>
      <name val="Helvetica"/>
    </font>
    <font>
      <sz val="10"/>
      <name val="Symbol"/>
    </font>
    <font>
      <b/>
      <sz val="18"/>
      <name val="Geneva"/>
    </font>
    <font>
      <b/>
      <sz val="10"/>
      <color indexed="17"/>
      <name val="Geneva"/>
    </font>
    <font>
      <sz val="10"/>
      <color indexed="13"/>
      <name val="Geneva"/>
    </font>
    <font>
      <sz val="10"/>
      <color indexed="50"/>
      <name val="Geneva"/>
    </font>
    <font>
      <sz val="9"/>
      <color indexed="50"/>
      <name val="Geneva"/>
    </font>
    <font>
      <sz val="10"/>
      <color indexed="60"/>
      <name val="Geneva"/>
    </font>
    <font>
      <sz val="10"/>
      <color indexed="22"/>
      <name val="Geneva"/>
    </font>
    <font>
      <b/>
      <i/>
      <sz val="9"/>
      <color indexed="17"/>
      <name val="Geneva"/>
    </font>
    <font>
      <sz val="12"/>
      <name val="Arial"/>
    </font>
    <font>
      <outline/>
      <sz val="10"/>
      <name val="Geneva"/>
    </font>
    <font>
      <b/>
      <sz val="9"/>
      <color indexed="81"/>
      <name val="Geneva"/>
    </font>
    <font>
      <b/>
      <sz val="14"/>
      <name val="Courier New"/>
      <family val="3"/>
    </font>
    <font>
      <b/>
      <sz val="14"/>
      <name val="Courier New"/>
    </font>
    <font>
      <sz val="12"/>
      <name val="Courier New"/>
    </font>
    <font>
      <b/>
      <sz val="12"/>
      <name val="Courier New"/>
    </font>
    <font>
      <sz val="24"/>
      <name val="Geneva"/>
    </font>
    <font>
      <sz val="12"/>
      <color indexed="10"/>
      <name val="Geneva"/>
    </font>
    <font>
      <b/>
      <sz val="12"/>
      <name val="Arial"/>
    </font>
    <font>
      <b/>
      <i/>
      <sz val="12"/>
      <name val="Arial"/>
    </font>
    <font>
      <b/>
      <sz val="12"/>
      <color indexed="18"/>
      <name val="Arial"/>
    </font>
    <font>
      <b/>
      <sz val="12"/>
      <color indexed="18"/>
      <name val="Geneva"/>
    </font>
    <font>
      <b/>
      <sz val="12"/>
      <color indexed="21"/>
      <name val="Arial"/>
    </font>
    <font>
      <b/>
      <sz val="12"/>
      <color indexed="21"/>
      <name val="Geneva"/>
    </font>
    <font>
      <b/>
      <sz val="12"/>
      <color indexed="17"/>
      <name val="Arial"/>
    </font>
    <font>
      <b/>
      <sz val="12"/>
      <color indexed="20"/>
      <name val="Arial"/>
    </font>
    <font>
      <b/>
      <sz val="10"/>
      <name val="Arial"/>
      <family val="2"/>
    </font>
    <font>
      <b/>
      <sz val="10"/>
      <color indexed="10"/>
      <name val="Geneva"/>
    </font>
    <font>
      <sz val="9"/>
      <color indexed="8"/>
      <name val="Geneva"/>
    </font>
    <font>
      <sz val="8"/>
      <name val="Geneva"/>
    </font>
    <font>
      <sz val="10"/>
      <color indexed="59"/>
      <name val="Geneva"/>
    </font>
    <font>
      <sz val="10"/>
      <name val="Geneva"/>
    </font>
    <font>
      <sz val="14"/>
      <name val="Arial"/>
    </font>
    <font>
      <b/>
      <sz val="10"/>
      <color indexed="58"/>
      <name val="Geneva"/>
    </font>
    <font>
      <sz val="11"/>
      <name val="Arial"/>
      <family val="2"/>
    </font>
    <font>
      <sz val="12"/>
      <name val="ArialMT"/>
    </font>
    <font>
      <i/>
      <sz val="10"/>
      <color indexed="10"/>
      <name val="Geneva"/>
    </font>
    <font>
      <sz val="16"/>
      <name val="Geneva"/>
    </font>
    <font>
      <sz val="10"/>
      <name val="Geneva"/>
    </font>
    <font>
      <u/>
      <sz val="10"/>
      <color theme="11"/>
      <name val="Geneva"/>
    </font>
    <font>
      <sz val="9.5"/>
      <color indexed="8"/>
      <name val="Geneva"/>
    </font>
    <font>
      <sz val="10"/>
      <color indexed="8"/>
      <name val="Arial"/>
    </font>
    <font>
      <sz val="12"/>
      <color indexed="8"/>
      <name val="Verdana"/>
    </font>
    <font>
      <sz val="12"/>
      <color indexed="8"/>
      <name val="Geneva"/>
    </font>
    <font>
      <sz val="9"/>
      <color indexed="8"/>
      <name val="Helvetica"/>
    </font>
    <font>
      <sz val="10"/>
      <color indexed="8"/>
      <name val="Verdana"/>
    </font>
  </fonts>
  <fills count="19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indexed="11"/>
      </patternFill>
    </fill>
    <fill>
      <patternFill patternType="solid">
        <fgColor indexed="18"/>
      </patternFill>
    </fill>
    <fill>
      <patternFill patternType="solid">
        <fgColor indexed="20"/>
      </patternFill>
    </fill>
    <fill>
      <patternFill patternType="solid">
        <fgColor indexed="16"/>
      </patternFill>
    </fill>
    <fill>
      <patternFill patternType="darkGray">
        <fgColor indexed="9"/>
        <bgColor indexed="13"/>
      </patternFill>
    </fill>
    <fill>
      <patternFill patternType="solid">
        <f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21"/>
      </left>
      <right/>
      <top style="thick">
        <color indexed="21"/>
      </top>
      <bottom/>
      <diagonal/>
    </border>
    <border>
      <left/>
      <right/>
      <top style="thick">
        <color indexed="21"/>
      </top>
      <bottom/>
      <diagonal/>
    </border>
    <border>
      <left/>
      <right style="thick">
        <color indexed="21"/>
      </right>
      <top style="thick">
        <color indexed="2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15"/>
      </top>
      <bottom/>
      <diagonal/>
    </border>
    <border>
      <left/>
      <right style="thick">
        <color indexed="21"/>
      </right>
      <top style="thin">
        <color indexed="15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15"/>
      </top>
      <bottom style="thick">
        <color indexed="21"/>
      </bottom>
      <diagonal/>
    </border>
    <border>
      <left/>
      <right style="thick">
        <color indexed="21"/>
      </right>
      <top style="thin">
        <color indexed="15"/>
      </top>
      <bottom style="thick">
        <color indexed="21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 style="medium">
        <color indexed="1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11"/>
      </left>
      <right/>
      <top style="medium">
        <color indexed="11"/>
      </top>
      <bottom style="medium">
        <color indexed="1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 style="thin">
        <color auto="1"/>
      </bottom>
      <diagonal/>
    </border>
    <border>
      <left style="medium">
        <color indexed="62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ck">
        <color indexed="2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indexed="20"/>
      </top>
      <bottom style="thin">
        <color indexed="20"/>
      </bottom>
      <diagonal/>
    </border>
    <border>
      <left style="medium">
        <color indexed="11"/>
      </left>
      <right/>
      <top/>
      <bottom/>
      <diagonal/>
    </border>
    <border>
      <left/>
      <right style="medium">
        <color indexed="11"/>
      </right>
      <top style="medium">
        <color indexed="11"/>
      </top>
      <bottom style="medium">
        <color indexed="1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ck">
        <color indexed="21"/>
      </left>
      <right/>
      <top style="thin">
        <color indexed="15"/>
      </top>
      <bottom/>
      <diagonal/>
    </border>
    <border>
      <left style="thick">
        <color indexed="21"/>
      </left>
      <right/>
      <top style="thin">
        <color indexed="15"/>
      </top>
      <bottom style="thick">
        <color indexed="2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11"/>
      </top>
      <bottom style="medium">
        <color indexed="11"/>
      </bottom>
      <diagonal/>
    </border>
    <border>
      <left/>
      <right/>
      <top/>
      <bottom style="dashDotDot">
        <color indexed="17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tted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2">
    <xf numFmtId="164" fontId="0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  <xf numFmtId="164" fontId="69" fillId="0" borderId="0" applyNumberFormat="0" applyFill="0" applyBorder="0" applyAlignment="0" applyProtection="0"/>
  </cellStyleXfs>
  <cellXfs count="817">
    <xf numFmtId="164" fontId="0" fillId="0" borderId="0" xfId="0"/>
    <xf numFmtId="6" fontId="3" fillId="0" borderId="0" xfId="4"/>
    <xf numFmtId="6" fontId="3" fillId="0" borderId="0" xfId="4" applyBorder="1"/>
    <xf numFmtId="164" fontId="0" fillId="0" borderId="0" xfId="0" applyAlignment="1">
      <alignment horizontal="center"/>
    </xf>
    <xf numFmtId="9" fontId="3" fillId="0" borderId="0" xfId="6"/>
    <xf numFmtId="38" fontId="4" fillId="0" borderId="0" xfId="2" applyFont="1"/>
    <xf numFmtId="0" fontId="3" fillId="0" borderId="0" xfId="5"/>
    <xf numFmtId="0" fontId="3" fillId="2" borderId="0" xfId="5" applyFill="1"/>
    <xf numFmtId="0" fontId="9" fillId="3" borderId="1" xfId="5" applyFont="1" applyFill="1" applyBorder="1" applyAlignment="1">
      <alignment horizontal="right"/>
    </xf>
    <xf numFmtId="0" fontId="10" fillId="3" borderId="1" xfId="5" applyFont="1" applyFill="1" applyBorder="1" applyAlignment="1">
      <alignment horizontal="center"/>
    </xf>
    <xf numFmtId="0" fontId="3" fillId="3" borderId="0" xfId="5" applyFill="1"/>
    <xf numFmtId="0" fontId="3" fillId="4" borderId="0" xfId="5" applyFill="1"/>
    <xf numFmtId="0" fontId="9" fillId="5" borderId="2" xfId="5" applyFont="1" applyFill="1" applyBorder="1" applyAlignment="1">
      <alignment horizontal="right"/>
    </xf>
    <xf numFmtId="0" fontId="9" fillId="5" borderId="3" xfId="5" applyFont="1" applyFill="1" applyBorder="1" applyAlignment="1">
      <alignment horizontal="right"/>
    </xf>
    <xf numFmtId="0" fontId="10" fillId="5" borderId="3" xfId="5" applyFont="1" applyFill="1" applyBorder="1" applyAlignment="1"/>
    <xf numFmtId="0" fontId="9" fillId="5" borderId="4" xfId="5" applyFont="1" applyFill="1" applyBorder="1" applyAlignment="1">
      <alignment horizontal="right"/>
    </xf>
    <xf numFmtId="0" fontId="11" fillId="6" borderId="5" xfId="5" applyFont="1" applyFill="1" applyBorder="1" applyAlignment="1">
      <alignment horizontal="right"/>
    </xf>
    <xf numFmtId="0" fontId="12" fillId="6" borderId="5" xfId="5" applyFont="1" applyFill="1" applyBorder="1" applyAlignment="1">
      <alignment horizontal="left"/>
    </xf>
    <xf numFmtId="0" fontId="13" fillId="4" borderId="6" xfId="5" applyFont="1" applyFill="1" applyBorder="1" applyAlignment="1">
      <alignment horizontal="center"/>
    </xf>
    <xf numFmtId="0" fontId="13" fillId="4" borderId="7" xfId="5" applyFont="1" applyFill="1" applyBorder="1" applyAlignment="1">
      <alignment horizontal="center"/>
    </xf>
    <xf numFmtId="0" fontId="10" fillId="4" borderId="7" xfId="5" applyFont="1" applyFill="1" applyBorder="1" applyAlignment="1">
      <alignment horizontal="center"/>
    </xf>
    <xf numFmtId="0" fontId="13" fillId="4" borderId="8" xfId="5" applyFont="1" applyFill="1" applyBorder="1" applyAlignment="1">
      <alignment horizontal="center"/>
    </xf>
    <xf numFmtId="0" fontId="3" fillId="0" borderId="0" xfId="5" applyFont="1" applyFill="1" applyBorder="1" applyAlignment="1"/>
    <xf numFmtId="0" fontId="3" fillId="0" borderId="9" xfId="5" applyFont="1" applyFill="1" applyBorder="1" applyAlignment="1"/>
    <xf numFmtId="17" fontId="3" fillId="0" borderId="0" xfId="5" applyNumberFormat="1"/>
    <xf numFmtId="38" fontId="3" fillId="0" borderId="0" xfId="2"/>
    <xf numFmtId="38" fontId="3" fillId="0" borderId="0" xfId="2" applyFont="1" applyFill="1" applyBorder="1" applyAlignment="1"/>
    <xf numFmtId="38" fontId="3" fillId="3" borderId="0" xfId="2" applyFill="1"/>
    <xf numFmtId="38" fontId="3" fillId="4" borderId="0" xfId="2" applyFill="1"/>
    <xf numFmtId="38" fontId="3" fillId="0" borderId="10" xfId="2" applyFont="1" applyFill="1" applyBorder="1" applyAlignment="1"/>
    <xf numFmtId="0" fontId="14" fillId="7" borderId="11" xfId="5" applyFont="1" applyFill="1" applyBorder="1" applyAlignment="1"/>
    <xf numFmtId="165" fontId="14" fillId="7" borderId="12" xfId="6" applyNumberFormat="1" applyFont="1" applyFill="1" applyBorder="1" applyAlignment="1"/>
    <xf numFmtId="165" fontId="14" fillId="7" borderId="13" xfId="6" applyNumberFormat="1" applyFont="1" applyFill="1" applyBorder="1" applyAlignment="1"/>
    <xf numFmtId="38" fontId="16" fillId="8" borderId="14" xfId="2" applyFont="1" applyFill="1" applyBorder="1" applyAlignment="1"/>
    <xf numFmtId="38" fontId="16" fillId="8" borderId="15" xfId="2" applyFont="1" applyFill="1" applyBorder="1" applyAlignment="1"/>
    <xf numFmtId="0" fontId="14" fillId="7" borderId="9" xfId="5" applyFont="1" applyFill="1" applyBorder="1" applyAlignment="1"/>
    <xf numFmtId="165" fontId="14" fillId="7" borderId="0" xfId="6" applyNumberFormat="1" applyFont="1" applyFill="1" applyBorder="1" applyAlignment="1"/>
    <xf numFmtId="165" fontId="14" fillId="7" borderId="10" xfId="6" applyNumberFormat="1" applyFont="1" applyFill="1" applyBorder="1" applyAlignment="1"/>
    <xf numFmtId="0" fontId="3" fillId="0" borderId="5" xfId="5" applyFont="1" applyFill="1" applyBorder="1" applyAlignment="1"/>
    <xf numFmtId="38" fontId="3" fillId="0" borderId="5" xfId="2" applyFont="1" applyFill="1" applyBorder="1" applyAlignment="1"/>
    <xf numFmtId="0" fontId="3" fillId="0" borderId="16" xfId="5" applyFont="1" applyFill="1" applyBorder="1" applyAlignment="1"/>
    <xf numFmtId="38" fontId="3" fillId="0" borderId="17" xfId="2" applyFont="1" applyFill="1" applyBorder="1" applyAlignment="1"/>
    <xf numFmtId="38" fontId="3" fillId="0" borderId="18" xfId="2" applyFont="1" applyFill="1" applyBorder="1" applyAlignment="1"/>
    <xf numFmtId="0" fontId="14" fillId="7" borderId="16" xfId="5" applyFont="1" applyFill="1" applyBorder="1" applyAlignment="1"/>
    <xf numFmtId="165" fontId="14" fillId="7" borderId="17" xfId="6" applyNumberFormat="1" applyFont="1" applyFill="1" applyBorder="1" applyAlignment="1"/>
    <xf numFmtId="165" fontId="14" fillId="7" borderId="18" xfId="6" applyNumberFormat="1" applyFont="1" applyFill="1" applyBorder="1" applyAlignment="1"/>
    <xf numFmtId="38" fontId="16" fillId="8" borderId="19" xfId="2" applyFont="1" applyFill="1" applyBorder="1" applyAlignment="1"/>
    <xf numFmtId="38" fontId="16" fillId="8" borderId="20" xfId="2" applyFont="1" applyFill="1" applyBorder="1" applyAlignment="1"/>
    <xf numFmtId="38" fontId="3" fillId="0" borderId="0" xfId="5" applyNumberFormat="1"/>
    <xf numFmtId="0" fontId="3" fillId="0" borderId="0" xfId="5" applyFill="1"/>
    <xf numFmtId="6" fontId="3" fillId="0" borderId="0" xfId="5" applyNumberFormat="1"/>
    <xf numFmtId="0" fontId="3" fillId="0" borderId="0" xfId="5" applyAlignment="1">
      <alignment horizontal="right"/>
    </xf>
    <xf numFmtId="0" fontId="3" fillId="0" borderId="17" xfId="5" applyBorder="1"/>
    <xf numFmtId="0" fontId="3" fillId="0" borderId="0" xfId="5" applyAlignment="1">
      <alignment horizontal="center"/>
    </xf>
    <xf numFmtId="38" fontId="1" fillId="0" borderId="0" xfId="5" applyNumberFormat="1" applyFont="1"/>
    <xf numFmtId="0" fontId="3" fillId="0" borderId="0" xfId="5" applyFill="1" applyBorder="1"/>
    <xf numFmtId="38" fontId="3" fillId="0" borderId="0" xfId="2" applyFill="1" applyBorder="1"/>
    <xf numFmtId="0" fontId="3" fillId="0" borderId="0" xfId="5" applyFill="1" applyBorder="1" applyAlignment="1">
      <alignment horizontal="center"/>
    </xf>
    <xf numFmtId="6" fontId="3" fillId="0" borderId="0" xfId="4" applyFill="1" applyBorder="1"/>
    <xf numFmtId="6" fontId="4" fillId="0" borderId="0" xfId="3" applyNumberFormat="1" applyFont="1"/>
    <xf numFmtId="0" fontId="3" fillId="0" borderId="17" xfId="5" applyFont="1" applyBorder="1" applyAlignment="1">
      <alignment horizontal="center"/>
    </xf>
    <xf numFmtId="38" fontId="4" fillId="0" borderId="0" xfId="5" applyNumberFormat="1" applyFont="1"/>
    <xf numFmtId="39" fontId="0" fillId="0" borderId="0" xfId="0" applyNumberFormat="1"/>
    <xf numFmtId="17" fontId="0" fillId="0" borderId="0" xfId="0" applyNumberFormat="1"/>
    <xf numFmtId="164" fontId="0" fillId="0" borderId="17" xfId="0" applyBorder="1"/>
    <xf numFmtId="37" fontId="0" fillId="0" borderId="0" xfId="0" applyNumberFormat="1" applyProtection="1"/>
    <xf numFmtId="0" fontId="3" fillId="0" borderId="17" xfId="5" applyBorder="1" applyAlignment="1">
      <alignment horizontal="right"/>
    </xf>
    <xf numFmtId="6" fontId="3" fillId="0" borderId="17" xfId="4" applyFont="1" applyBorder="1"/>
    <xf numFmtId="39" fontId="18" fillId="0" borderId="0" xfId="0" applyNumberFormat="1" applyFont="1"/>
    <xf numFmtId="39" fontId="18" fillId="0" borderId="0" xfId="0" applyNumberFormat="1" applyFont="1" applyProtection="1"/>
    <xf numFmtId="0" fontId="3" fillId="0" borderId="0" xfId="5" applyFont="1" applyAlignment="1">
      <alignment horizontal="right"/>
    </xf>
    <xf numFmtId="0" fontId="3" fillId="0" borderId="0" xfId="5" applyFont="1" applyAlignment="1">
      <alignment horizontal="center"/>
    </xf>
    <xf numFmtId="0" fontId="3" fillId="0" borderId="17" xfId="5" applyFont="1" applyFill="1" applyBorder="1" applyAlignment="1">
      <alignment horizontal="center"/>
    </xf>
    <xf numFmtId="0" fontId="3" fillId="0" borderId="0" xfId="5" applyFont="1" applyBorder="1" applyAlignment="1">
      <alignment horizontal="center"/>
    </xf>
    <xf numFmtId="39" fontId="18" fillId="0" borderId="0" xfId="0" applyNumberFormat="1" applyFont="1" applyBorder="1" applyProtection="1"/>
    <xf numFmtId="38" fontId="0" fillId="0" borderId="0" xfId="1" applyNumberFormat="1" applyFont="1"/>
    <xf numFmtId="165" fontId="14" fillId="7" borderId="13" xfId="6" applyNumberFormat="1" applyFont="1" applyFill="1" applyBorder="1" applyAlignment="1">
      <alignment horizontal="center"/>
    </xf>
    <xf numFmtId="165" fontId="14" fillId="7" borderId="10" xfId="6" applyNumberFormat="1" applyFont="1" applyFill="1" applyBorder="1" applyAlignment="1">
      <alignment horizontal="center"/>
    </xf>
    <xf numFmtId="165" fontId="14" fillId="7" borderId="18" xfId="6" applyNumberFormat="1" applyFont="1" applyFill="1" applyBorder="1" applyAlignment="1">
      <alignment horizontal="center"/>
    </xf>
    <xf numFmtId="38" fontId="3" fillId="0" borderId="0" xfId="2" applyFill="1" applyBorder="1" applyAlignment="1">
      <alignment horizontal="center"/>
    </xf>
    <xf numFmtId="0" fontId="3" fillId="0" borderId="0" xfId="5" applyFont="1"/>
    <xf numFmtId="0" fontId="3" fillId="0" borderId="17" xfId="5" applyBorder="1" applyAlignment="1">
      <alignment horizontal="center"/>
    </xf>
    <xf numFmtId="0" fontId="3" fillId="0" borderId="17" xfId="5" applyFont="1" applyFill="1" applyBorder="1"/>
    <xf numFmtId="6" fontId="3" fillId="0" borderId="17" xfId="3" applyNumberFormat="1" applyBorder="1" applyAlignment="1">
      <alignment horizontal="right"/>
    </xf>
    <xf numFmtId="167" fontId="19" fillId="0" borderId="0" xfId="0" applyNumberFormat="1" applyFont="1" applyProtection="1"/>
    <xf numFmtId="6" fontId="3" fillId="0" borderId="0" xfId="3" applyNumberFormat="1" applyFont="1" applyProtection="1"/>
    <xf numFmtId="167" fontId="19" fillId="0" borderId="17" xfId="0" applyNumberFormat="1" applyFont="1" applyBorder="1" applyProtection="1"/>
    <xf numFmtId="167" fontId="20" fillId="0" borderId="0" xfId="0" applyNumberFormat="1" applyFont="1" applyProtection="1"/>
    <xf numFmtId="0" fontId="3" fillId="0" borderId="0" xfId="5" applyBorder="1"/>
    <xf numFmtId="38" fontId="21" fillId="0" borderId="21" xfId="2" applyFont="1" applyFill="1" applyBorder="1" applyAlignment="1"/>
    <xf numFmtId="38" fontId="21" fillId="0" borderId="22" xfId="2" applyFont="1" applyFill="1" applyBorder="1" applyAlignment="1"/>
    <xf numFmtId="38" fontId="22" fillId="0" borderId="23" xfId="5" applyNumberFormat="1" applyFont="1" applyBorder="1"/>
    <xf numFmtId="38" fontId="22" fillId="0" borderId="24" xfId="5" applyNumberFormat="1" applyFont="1" applyBorder="1"/>
    <xf numFmtId="38" fontId="3" fillId="0" borderId="25" xfId="2" applyFont="1" applyFill="1" applyBorder="1" applyAlignment="1"/>
    <xf numFmtId="6" fontId="3" fillId="0" borderId="17" xfId="4" applyBorder="1"/>
    <xf numFmtId="38" fontId="3" fillId="0" borderId="0" xfId="5" applyNumberFormat="1" applyFont="1"/>
    <xf numFmtId="0" fontId="13" fillId="4" borderId="0" xfId="5" applyFont="1" applyFill="1" applyBorder="1" applyAlignment="1">
      <alignment horizontal="center"/>
    </xf>
    <xf numFmtId="38" fontId="4" fillId="0" borderId="0" xfId="1" applyNumberFormat="1" applyFont="1"/>
    <xf numFmtId="0" fontId="3" fillId="0" borderId="17" xfId="5" applyFont="1" applyBorder="1"/>
    <xf numFmtId="164" fontId="0" fillId="0" borderId="17" xfId="0" applyBorder="1" applyAlignment="1">
      <alignment horizontal="center"/>
    </xf>
    <xf numFmtId="6" fontId="3" fillId="0" borderId="17" xfId="3" applyNumberFormat="1" applyFont="1" applyBorder="1" applyProtection="1"/>
    <xf numFmtId="6" fontId="4" fillId="0" borderId="17" xfId="3" applyNumberFormat="1" applyFont="1" applyBorder="1"/>
    <xf numFmtId="0" fontId="9" fillId="3" borderId="1" xfId="5" applyFont="1" applyFill="1" applyBorder="1" applyAlignment="1">
      <alignment horizontal="center"/>
    </xf>
    <xf numFmtId="6" fontId="0" fillId="0" borderId="0" xfId="3" applyNumberFormat="1" applyFont="1"/>
    <xf numFmtId="164" fontId="4" fillId="0" borderId="0" xfId="0" applyFont="1"/>
    <xf numFmtId="37" fontId="0" fillId="0" borderId="11" xfId="0" applyNumberFormat="1" applyBorder="1" applyProtection="1"/>
    <xf numFmtId="0" fontId="3" fillId="0" borderId="12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3" fillId="0" borderId="9" xfId="5" applyBorder="1"/>
    <xf numFmtId="0" fontId="3" fillId="0" borderId="18" xfId="5" applyFont="1" applyBorder="1" applyAlignment="1">
      <alignment horizontal="center"/>
    </xf>
    <xf numFmtId="167" fontId="20" fillId="0" borderId="0" xfId="0" applyNumberFormat="1" applyFont="1" applyBorder="1" applyProtection="1"/>
    <xf numFmtId="167" fontId="20" fillId="0" borderId="10" xfId="0" applyNumberFormat="1" applyFont="1" applyBorder="1" applyProtection="1"/>
    <xf numFmtId="0" fontId="3" fillId="0" borderId="26" xfId="5" applyFont="1" applyFill="1" applyBorder="1" applyAlignment="1"/>
    <xf numFmtId="167" fontId="24" fillId="0" borderId="0" xfId="0" applyNumberFormat="1" applyFont="1" applyBorder="1" applyProtection="1"/>
    <xf numFmtId="167" fontId="24" fillId="0" borderId="10" xfId="0" applyNumberFormat="1" applyFont="1" applyBorder="1" applyProtection="1"/>
    <xf numFmtId="0" fontId="3" fillId="0" borderId="16" xfId="5" applyBorder="1"/>
    <xf numFmtId="38" fontId="4" fillId="0" borderId="17" xfId="5" applyNumberFormat="1" applyFont="1" applyBorder="1"/>
    <xf numFmtId="9" fontId="0" fillId="0" borderId="0" xfId="6" applyFont="1"/>
    <xf numFmtId="9" fontId="21" fillId="0" borderId="21" xfId="6" applyFont="1" applyFill="1" applyBorder="1" applyAlignment="1"/>
    <xf numFmtId="164" fontId="0" fillId="0" borderId="0" xfId="0" applyAlignment="1">
      <alignment wrapText="1"/>
    </xf>
    <xf numFmtId="6" fontId="4" fillId="0" borderId="0" xfId="3" applyNumberFormat="1" applyFont="1" applyProtection="1"/>
    <xf numFmtId="38" fontId="3" fillId="0" borderId="17" xfId="2" applyBorder="1"/>
    <xf numFmtId="38" fontId="4" fillId="0" borderId="27" xfId="5" applyNumberFormat="1" applyFont="1" applyBorder="1"/>
    <xf numFmtId="0" fontId="3" fillId="0" borderId="28" xfId="5" applyFont="1" applyBorder="1" applyAlignment="1">
      <alignment horizontal="centerContinuous"/>
    </xf>
    <xf numFmtId="0" fontId="3" fillId="0" borderId="29" xfId="5" applyBorder="1" applyAlignment="1">
      <alignment horizontal="centerContinuous"/>
    </xf>
    <xf numFmtId="0" fontId="3" fillId="0" borderId="0" xfId="5" applyFont="1" applyFill="1" applyBorder="1" applyAlignment="1">
      <alignment horizontal="right"/>
    </xf>
    <xf numFmtId="0" fontId="3" fillId="0" borderId="5" xfId="5" applyFont="1" applyFill="1" applyBorder="1" applyAlignment="1">
      <alignment horizontal="right"/>
    </xf>
    <xf numFmtId="38" fontId="3" fillId="0" borderId="0" xfId="2" applyBorder="1"/>
    <xf numFmtId="38" fontId="4" fillId="0" borderId="0" xfId="5" applyNumberFormat="1" applyFont="1" applyBorder="1"/>
    <xf numFmtId="164" fontId="25" fillId="9" borderId="0" xfId="0" applyFont="1" applyFill="1"/>
    <xf numFmtId="6" fontId="25" fillId="9" borderId="0" xfId="3" applyNumberFormat="1" applyFont="1" applyFill="1"/>
    <xf numFmtId="164" fontId="0" fillId="0" borderId="17" xfId="0" applyBorder="1" applyAlignment="1">
      <alignment wrapText="1"/>
    </xf>
    <xf numFmtId="164" fontId="0" fillId="0" borderId="17" xfId="0" applyBorder="1" applyAlignment="1">
      <alignment horizontal="center" wrapText="1"/>
    </xf>
    <xf numFmtId="6" fontId="0" fillId="0" borderId="17" xfId="3" applyNumberFormat="1" applyFont="1" applyBorder="1" applyAlignment="1">
      <alignment horizontal="center" wrapText="1"/>
    </xf>
    <xf numFmtId="9" fontId="0" fillId="0" borderId="0" xfId="6" applyFont="1" applyAlignment="1">
      <alignment horizontal="center"/>
    </xf>
    <xf numFmtId="164" fontId="0" fillId="9" borderId="0" xfId="0" applyFill="1"/>
    <xf numFmtId="6" fontId="0" fillId="9" borderId="0" xfId="3" applyNumberFormat="1" applyFont="1" applyFill="1"/>
    <xf numFmtId="6" fontId="0" fillId="0" borderId="0" xfId="3" applyNumberFormat="1" applyFont="1" applyBorder="1"/>
    <xf numFmtId="0" fontId="3" fillId="0" borderId="0" xfId="5" applyFont="1" applyFill="1" applyBorder="1" applyAlignment="1">
      <alignment horizontal="center"/>
    </xf>
    <xf numFmtId="0" fontId="9" fillId="5" borderId="0" xfId="5" applyFont="1" applyFill="1" applyBorder="1" applyAlignment="1">
      <alignment horizontal="right"/>
    </xf>
    <xf numFmtId="165" fontId="3" fillId="0" borderId="0" xfId="5" applyNumberFormat="1"/>
    <xf numFmtId="38" fontId="3" fillId="0" borderId="0" xfId="1" applyNumberFormat="1"/>
    <xf numFmtId="6" fontId="3" fillId="0" borderId="0" xfId="3" applyNumberFormat="1"/>
    <xf numFmtId="164" fontId="0" fillId="0" borderId="30" xfId="0" applyBorder="1"/>
    <xf numFmtId="0" fontId="3" fillId="0" borderId="31" xfId="5" applyBorder="1"/>
    <xf numFmtId="38" fontId="1" fillId="0" borderId="31" xfId="5" applyNumberFormat="1" applyFont="1" applyBorder="1"/>
    <xf numFmtId="0" fontId="3" fillId="0" borderId="31" xfId="5" applyFont="1" applyBorder="1"/>
    <xf numFmtId="0" fontId="3" fillId="0" borderId="32" xfId="5" applyBorder="1"/>
    <xf numFmtId="0" fontId="15" fillId="3" borderId="33" xfId="5" applyFont="1" applyFill="1" applyBorder="1" applyAlignment="1">
      <alignment horizontal="center" wrapText="1"/>
    </xf>
    <xf numFmtId="0" fontId="15" fillId="5" borderId="34" xfId="5" applyFont="1" applyFill="1" applyBorder="1" applyAlignment="1">
      <alignment horizontal="center" wrapText="1"/>
    </xf>
    <xf numFmtId="0" fontId="15" fillId="5" borderId="35" xfId="5" applyFont="1" applyFill="1" applyBorder="1" applyAlignment="1">
      <alignment horizontal="center" wrapText="1"/>
    </xf>
    <xf numFmtId="164" fontId="0" fillId="0" borderId="0" xfId="0" applyBorder="1" applyAlignment="1">
      <alignment horizontal="center" wrapText="1"/>
    </xf>
    <xf numFmtId="6" fontId="0" fillId="0" borderId="0" xfId="3" applyNumberFormat="1" applyFont="1" applyBorder="1" applyAlignment="1">
      <alignment horizontal="center" wrapText="1"/>
    </xf>
    <xf numFmtId="6" fontId="0" fillId="0" borderId="0" xfId="0" applyNumberFormat="1"/>
    <xf numFmtId="17" fontId="0" fillId="0" borderId="0" xfId="0" applyNumberFormat="1" applyAlignment="1">
      <alignment horizontal="right"/>
    </xf>
    <xf numFmtId="164" fontId="0" fillId="0" borderId="0" xfId="0" applyAlignment="1">
      <alignment horizontal="right"/>
    </xf>
    <xf numFmtId="17" fontId="3" fillId="0" borderId="0" xfId="5" applyNumberFormat="1" applyFont="1" applyFill="1" applyBorder="1" applyAlignment="1">
      <alignment horizontal="right"/>
    </xf>
    <xf numFmtId="168" fontId="3" fillId="0" borderId="0" xfId="6" applyNumberFormat="1"/>
    <xf numFmtId="0" fontId="3" fillId="0" borderId="0" xfId="5" applyAlignment="1">
      <alignment horizontal="center" wrapText="1"/>
    </xf>
    <xf numFmtId="0" fontId="3" fillId="0" borderId="0" xfId="5" applyFont="1" applyAlignment="1">
      <alignment horizontal="center" wrapText="1"/>
    </xf>
    <xf numFmtId="0" fontId="3" fillId="0" borderId="0" xfId="5" applyAlignment="1">
      <alignment wrapText="1"/>
    </xf>
    <xf numFmtId="0" fontId="3" fillId="0" borderId="0" xfId="5" applyFont="1" applyFill="1" applyBorder="1" applyAlignment="1">
      <alignment wrapText="1"/>
    </xf>
    <xf numFmtId="0" fontId="3" fillId="0" borderId="17" xfId="5" applyFont="1" applyFill="1" applyBorder="1" applyAlignment="1">
      <alignment wrapText="1"/>
    </xf>
    <xf numFmtId="0" fontId="3" fillId="0" borderId="17" xfId="5" applyFont="1" applyFill="1" applyBorder="1" applyAlignment="1">
      <alignment horizontal="center" wrapText="1"/>
    </xf>
    <xf numFmtId="0" fontId="21" fillId="0" borderId="36" xfId="5" applyFont="1" applyFill="1" applyBorder="1" applyAlignment="1">
      <alignment horizontal="center" wrapText="1"/>
    </xf>
    <xf numFmtId="0" fontId="3" fillId="3" borderId="0" xfId="5" applyFill="1" applyAlignment="1">
      <alignment horizontal="center" wrapText="1"/>
    </xf>
    <xf numFmtId="0" fontId="3" fillId="4" borderId="0" xfId="5" applyFill="1" applyAlignment="1">
      <alignment horizontal="center" wrapText="1"/>
    </xf>
    <xf numFmtId="0" fontId="3" fillId="0" borderId="9" xfId="5" applyFont="1" applyFill="1" applyBorder="1" applyAlignment="1">
      <alignment wrapText="1"/>
    </xf>
    <xf numFmtId="0" fontId="3" fillId="0" borderId="18" xfId="5" applyFont="1" applyFill="1" applyBorder="1" applyAlignment="1">
      <alignment horizontal="center" wrapText="1"/>
    </xf>
    <xf numFmtId="0" fontId="21" fillId="0" borderId="37" xfId="5" applyFont="1" applyFill="1" applyBorder="1" applyAlignment="1">
      <alignment horizontal="center" wrapText="1"/>
    </xf>
    <xf numFmtId="0" fontId="14" fillId="7" borderId="2" xfId="5" applyFont="1" applyFill="1" applyBorder="1" applyAlignment="1">
      <alignment wrapText="1"/>
    </xf>
    <xf numFmtId="0" fontId="14" fillId="7" borderId="3" xfId="5" applyFont="1" applyFill="1" applyBorder="1" applyAlignment="1">
      <alignment wrapText="1"/>
    </xf>
    <xf numFmtId="0" fontId="14" fillId="7" borderId="4" xfId="5" applyFont="1" applyFill="1" applyBorder="1" applyAlignment="1">
      <alignment wrapText="1"/>
    </xf>
    <xf numFmtId="0" fontId="14" fillId="7" borderId="4" xfId="5" applyFont="1" applyFill="1" applyBorder="1" applyAlignment="1">
      <alignment horizontal="center" wrapText="1"/>
    </xf>
    <xf numFmtId="0" fontId="16" fillId="8" borderId="3" xfId="5" applyFont="1" applyFill="1" applyBorder="1" applyAlignment="1">
      <alignment horizontal="center" wrapText="1"/>
    </xf>
    <xf numFmtId="0" fontId="16" fillId="8" borderId="4" xfId="5" applyFont="1" applyFill="1" applyBorder="1" applyAlignment="1">
      <alignment horizontal="center" wrapText="1"/>
    </xf>
    <xf numFmtId="17" fontId="3" fillId="0" borderId="0" xfId="5" applyNumberFormat="1" applyAlignment="1">
      <alignment wrapText="1"/>
    </xf>
    <xf numFmtId="38" fontId="4" fillId="0" borderId="0" xfId="1" applyNumberFormat="1" applyFont="1" applyAlignment="1">
      <alignment wrapText="1"/>
    </xf>
    <xf numFmtId="0" fontId="3" fillId="0" borderId="0" xfId="5" applyFont="1" applyAlignment="1">
      <alignment wrapText="1"/>
    </xf>
    <xf numFmtId="164" fontId="0" fillId="0" borderId="0" xfId="0" applyAlignment="1">
      <alignment horizontal="left"/>
    </xf>
    <xf numFmtId="0" fontId="3" fillId="0" borderId="0" xfId="5" applyAlignment="1">
      <alignment horizontal="left"/>
    </xf>
    <xf numFmtId="164" fontId="0" fillId="0" borderId="0" xfId="0" applyAlignment="1">
      <alignment horizontal="centerContinuous"/>
    </xf>
    <xf numFmtId="9" fontId="3" fillId="0" borderId="0" xfId="6" applyAlignment="1">
      <alignment horizontal="center"/>
    </xf>
    <xf numFmtId="38" fontId="0" fillId="0" borderId="0" xfId="1" applyNumberFormat="1" applyFont="1" applyAlignment="1">
      <alignment horizontal="center"/>
    </xf>
    <xf numFmtId="38" fontId="3" fillId="0" borderId="0" xfId="5" applyNumberFormat="1" applyAlignment="1">
      <alignment horizontal="center"/>
    </xf>
    <xf numFmtId="9" fontId="3" fillId="0" borderId="0" xfId="5" applyNumberFormat="1"/>
    <xf numFmtId="8" fontId="0" fillId="0" borderId="0" xfId="3" applyFont="1"/>
    <xf numFmtId="164" fontId="1" fillId="0" borderId="0" xfId="0" applyFont="1"/>
    <xf numFmtId="8" fontId="0" fillId="0" borderId="11" xfId="3" applyFont="1" applyBorder="1"/>
    <xf numFmtId="8" fontId="0" fillId="0" borderId="13" xfId="3" applyFont="1" applyBorder="1"/>
    <xf numFmtId="8" fontId="0" fillId="0" borderId="9" xfId="3" applyFont="1" applyBorder="1"/>
    <xf numFmtId="8" fontId="0" fillId="0" borderId="10" xfId="3" applyFont="1" applyBorder="1"/>
    <xf numFmtId="8" fontId="0" fillId="0" borderId="16" xfId="3" applyFont="1" applyBorder="1"/>
    <xf numFmtId="8" fontId="0" fillId="0" borderId="18" xfId="3" applyFont="1" applyBorder="1"/>
    <xf numFmtId="8" fontId="0" fillId="0" borderId="38" xfId="3" applyFont="1" applyBorder="1"/>
    <xf numFmtId="8" fontId="0" fillId="0" borderId="39" xfId="3" applyFont="1" applyBorder="1"/>
    <xf numFmtId="8" fontId="0" fillId="0" borderId="40" xfId="3" applyFont="1" applyBorder="1"/>
    <xf numFmtId="8" fontId="0" fillId="0" borderId="41" xfId="3" applyFont="1" applyBorder="1"/>
    <xf numFmtId="0" fontId="14" fillId="7" borderId="0" xfId="5" applyFont="1" applyFill="1" applyBorder="1" applyAlignment="1">
      <alignment horizontal="center" wrapText="1"/>
    </xf>
    <xf numFmtId="168" fontId="0" fillId="0" borderId="0" xfId="6" applyNumberFormat="1" applyFont="1"/>
    <xf numFmtId="10" fontId="0" fillId="0" borderId="0" xfId="6" applyNumberFormat="1" applyFont="1"/>
    <xf numFmtId="164" fontId="0" fillId="0" borderId="0" xfId="0" applyAlignment="1">
      <alignment horizontal="center" wrapText="1"/>
    </xf>
    <xf numFmtId="0" fontId="3" fillId="0" borderId="0" xfId="5" applyFont="1" applyAlignment="1">
      <alignment horizontal="left"/>
    </xf>
    <xf numFmtId="0" fontId="29" fillId="0" borderId="0" xfId="5" applyFont="1"/>
    <xf numFmtId="0" fontId="30" fillId="0" borderId="0" xfId="5" applyFont="1"/>
    <xf numFmtId="0" fontId="9" fillId="3" borderId="0" xfId="5" applyFont="1" applyFill="1" applyBorder="1" applyAlignment="1">
      <alignment horizontal="center"/>
    </xf>
    <xf numFmtId="0" fontId="11" fillId="6" borderId="0" xfId="5" applyFont="1" applyFill="1" applyBorder="1" applyAlignment="1">
      <alignment horizontal="right"/>
    </xf>
    <xf numFmtId="17" fontId="0" fillId="0" borderId="17" xfId="0" applyNumberFormat="1" applyBorder="1"/>
    <xf numFmtId="6" fontId="0" fillId="0" borderId="17" xfId="3" applyNumberFormat="1" applyFont="1" applyBorder="1"/>
    <xf numFmtId="164" fontId="0" fillId="0" borderId="0" xfId="0" applyBorder="1"/>
    <xf numFmtId="6" fontId="0" fillId="0" borderId="41" xfId="3" applyNumberFormat="1" applyFont="1" applyBorder="1"/>
    <xf numFmtId="6" fontId="0" fillId="0" borderId="38" xfId="3" applyNumberFormat="1" applyFont="1" applyBorder="1"/>
    <xf numFmtId="6" fontId="0" fillId="0" borderId="39" xfId="3" applyNumberFormat="1" applyFont="1" applyBorder="1"/>
    <xf numFmtId="6" fontId="4" fillId="0" borderId="17" xfId="3" applyNumberFormat="1" applyFont="1" applyBorder="1" applyAlignment="1">
      <alignment horizontal="center" wrapText="1"/>
    </xf>
    <xf numFmtId="6" fontId="4" fillId="0" borderId="0" xfId="3" applyNumberFormat="1" applyFont="1" applyBorder="1" applyAlignment="1">
      <alignment horizontal="center" wrapText="1"/>
    </xf>
    <xf numFmtId="38" fontId="4" fillId="0" borderId="17" xfId="1" applyNumberFormat="1" applyFont="1" applyBorder="1"/>
    <xf numFmtId="164" fontId="4" fillId="0" borderId="17" xfId="0" applyFont="1" applyBorder="1"/>
    <xf numFmtId="8" fontId="0" fillId="0" borderId="0" xfId="3" applyNumberFormat="1" applyFont="1"/>
    <xf numFmtId="164" fontId="1" fillId="0" borderId="42" xfId="0" applyFont="1" applyBorder="1" applyAlignment="1">
      <alignment horizontal="center"/>
    </xf>
    <xf numFmtId="164" fontId="1" fillId="0" borderId="5" xfId="0" applyFont="1" applyBorder="1" applyAlignment="1">
      <alignment horizontal="center"/>
    </xf>
    <xf numFmtId="164" fontId="1" fillId="0" borderId="43" xfId="0" applyFont="1" applyBorder="1" applyAlignment="1">
      <alignment horizontal="center"/>
    </xf>
    <xf numFmtId="164" fontId="0" fillId="0" borderId="30" xfId="0" applyBorder="1" applyAlignment="1">
      <alignment horizontal="center"/>
    </xf>
    <xf numFmtId="164" fontId="4" fillId="0" borderId="31" xfId="0" applyFont="1" applyBorder="1"/>
    <xf numFmtId="164" fontId="0" fillId="0" borderId="32" xfId="0" applyBorder="1"/>
    <xf numFmtId="164" fontId="0" fillId="0" borderId="44" xfId="0" applyBorder="1" applyAlignment="1">
      <alignment horizontal="center"/>
    </xf>
    <xf numFmtId="164" fontId="4" fillId="0" borderId="0" xfId="0" applyFont="1" applyBorder="1"/>
    <xf numFmtId="164" fontId="0" fillId="0" borderId="45" xfId="0" applyBorder="1"/>
    <xf numFmtId="164" fontId="0" fillId="0" borderId="5" xfId="0" applyBorder="1"/>
    <xf numFmtId="164" fontId="0" fillId="0" borderId="43" xfId="0" applyBorder="1"/>
    <xf numFmtId="166" fontId="0" fillId="0" borderId="0" xfId="1" applyNumberFormat="1" applyFont="1"/>
    <xf numFmtId="6" fontId="1" fillId="0" borderId="0" xfId="3" applyNumberFormat="1" applyFont="1"/>
    <xf numFmtId="17" fontId="3" fillId="0" borderId="0" xfId="5" applyNumberFormat="1" applyFont="1"/>
    <xf numFmtId="40" fontId="0" fillId="0" borderId="0" xfId="1" applyFont="1"/>
    <xf numFmtId="172" fontId="0" fillId="0" borderId="0" xfId="3" applyNumberFormat="1" applyFont="1"/>
    <xf numFmtId="8" fontId="7" fillId="0" borderId="0" xfId="3" applyFont="1"/>
    <xf numFmtId="164" fontId="32" fillId="0" borderId="0" xfId="0" applyFont="1"/>
    <xf numFmtId="6" fontId="32" fillId="0" borderId="0" xfId="3" applyNumberFormat="1" applyFont="1"/>
    <xf numFmtId="8" fontId="1" fillId="0" borderId="0" xfId="3" applyFont="1"/>
    <xf numFmtId="17" fontId="0" fillId="0" borderId="0" xfId="0" applyNumberFormat="1" applyAlignment="1">
      <alignment horizontal="center"/>
    </xf>
    <xf numFmtId="164" fontId="0" fillId="0" borderId="0" xfId="0" applyFill="1" applyBorder="1" applyAlignment="1"/>
    <xf numFmtId="17" fontId="0" fillId="0" borderId="0" xfId="0" applyNumberFormat="1" applyFill="1" applyBorder="1" applyAlignment="1"/>
    <xf numFmtId="164" fontId="1" fillId="0" borderId="0" xfId="0" applyFont="1" applyFill="1" applyBorder="1" applyAlignment="1"/>
    <xf numFmtId="6" fontId="33" fillId="10" borderId="40" xfId="3" applyNumberFormat="1" applyFont="1" applyFill="1" applyBorder="1"/>
    <xf numFmtId="9" fontId="33" fillId="10" borderId="40" xfId="6" applyFont="1" applyFill="1" applyBorder="1"/>
    <xf numFmtId="38" fontId="3" fillId="0" borderId="0" xfId="5" applyNumberFormat="1" applyFont="1" applyAlignment="1">
      <alignment horizontal="center"/>
    </xf>
    <xf numFmtId="173" fontId="3" fillId="0" borderId="0" xfId="5" applyNumberFormat="1"/>
    <xf numFmtId="6" fontId="34" fillId="0" borderId="3" xfId="3" applyNumberFormat="1" applyFont="1" applyBorder="1"/>
    <xf numFmtId="38" fontId="35" fillId="0" borderId="4" xfId="1" applyNumberFormat="1" applyFont="1" applyBorder="1"/>
    <xf numFmtId="6" fontId="34" fillId="0" borderId="17" xfId="3" applyNumberFormat="1" applyFont="1" applyBorder="1"/>
    <xf numFmtId="6" fontId="8" fillId="0" borderId="40" xfId="3" applyNumberFormat="1" applyFont="1" applyBorder="1"/>
    <xf numFmtId="6" fontId="2" fillId="0" borderId="0" xfId="3" applyNumberFormat="1" applyFont="1"/>
    <xf numFmtId="172" fontId="2" fillId="0" borderId="0" xfId="3" applyNumberFormat="1" applyFont="1"/>
    <xf numFmtId="164" fontId="1" fillId="0" borderId="17" xfId="0" applyFont="1" applyBorder="1" applyAlignment="1">
      <alignment horizontal="center"/>
    </xf>
    <xf numFmtId="6" fontId="1" fillId="0" borderId="17" xfId="3" applyNumberFormat="1" applyFont="1" applyBorder="1"/>
    <xf numFmtId="6" fontId="1" fillId="0" borderId="17" xfId="3" applyNumberFormat="1" applyFont="1" applyBorder="1" applyAlignment="1">
      <alignment horizontal="center"/>
    </xf>
    <xf numFmtId="172" fontId="3" fillId="0" borderId="0" xfId="3" applyNumberFormat="1" applyFont="1"/>
    <xf numFmtId="164" fontId="0" fillId="11" borderId="0" xfId="0" applyFill="1"/>
    <xf numFmtId="6" fontId="0" fillId="11" borderId="0" xfId="3" applyNumberFormat="1" applyFont="1" applyFill="1"/>
    <xf numFmtId="172" fontId="0" fillId="11" borderId="0" xfId="3" applyNumberFormat="1" applyFont="1" applyFill="1"/>
    <xf numFmtId="6" fontId="3" fillId="11" borderId="0" xfId="3" applyNumberFormat="1" applyFont="1" applyFill="1"/>
    <xf numFmtId="164" fontId="0" fillId="12" borderId="0" xfId="0" applyFill="1"/>
    <xf numFmtId="164" fontId="0" fillId="12" borderId="17" xfId="0" applyFill="1" applyBorder="1"/>
    <xf numFmtId="40" fontId="0" fillId="12" borderId="0" xfId="1" applyFont="1" applyFill="1"/>
    <xf numFmtId="6" fontId="0" fillId="12" borderId="0" xfId="3" applyNumberFormat="1" applyFont="1" applyFill="1"/>
    <xf numFmtId="6" fontId="0" fillId="12" borderId="0" xfId="1" applyNumberFormat="1" applyFont="1" applyFill="1"/>
    <xf numFmtId="164" fontId="2" fillId="12" borderId="0" xfId="0" applyFont="1" applyFill="1"/>
    <xf numFmtId="8" fontId="32" fillId="0" borderId="0" xfId="3" applyNumberFormat="1" applyFont="1"/>
    <xf numFmtId="0" fontId="37" fillId="0" borderId="0" xfId="5" applyFont="1"/>
    <xf numFmtId="0" fontId="14" fillId="13" borderId="17" xfId="5" applyFont="1" applyFill="1" applyBorder="1" applyAlignment="1">
      <alignment horizontal="center" wrapText="1"/>
    </xf>
    <xf numFmtId="38" fontId="14" fillId="13" borderId="0" xfId="2" applyFont="1" applyFill="1" applyBorder="1" applyAlignment="1"/>
    <xf numFmtId="38" fontId="14" fillId="13" borderId="5" xfId="2" applyFont="1" applyFill="1" applyBorder="1" applyAlignment="1"/>
    <xf numFmtId="38" fontId="14" fillId="13" borderId="0" xfId="5" applyNumberFormat="1" applyFont="1" applyFill="1"/>
    <xf numFmtId="0" fontId="3" fillId="14" borderId="17" xfId="5" applyFont="1" applyFill="1" applyBorder="1" applyAlignment="1">
      <alignment wrapText="1"/>
    </xf>
    <xf numFmtId="38" fontId="3" fillId="14" borderId="0" xfId="2" applyFont="1" applyFill="1" applyBorder="1" applyAlignment="1"/>
    <xf numFmtId="38" fontId="3" fillId="14" borderId="5" xfId="2" applyFont="1" applyFill="1" applyBorder="1" applyAlignment="1"/>
    <xf numFmtId="38" fontId="3" fillId="14" borderId="0" xfId="5" applyNumberFormat="1" applyFill="1"/>
    <xf numFmtId="0" fontId="3" fillId="9" borderId="17" xfId="5" applyFont="1" applyFill="1" applyBorder="1" applyAlignment="1">
      <alignment horizontal="center" wrapText="1"/>
    </xf>
    <xf numFmtId="38" fontId="3" fillId="9" borderId="0" xfId="2" applyFont="1" applyFill="1" applyBorder="1" applyAlignment="1"/>
    <xf numFmtId="38" fontId="3" fillId="9" borderId="5" xfId="2" applyFont="1" applyFill="1" applyBorder="1" applyAlignment="1"/>
    <xf numFmtId="38" fontId="3" fillId="9" borderId="0" xfId="5" applyNumberFormat="1" applyFill="1"/>
    <xf numFmtId="0" fontId="3" fillId="14" borderId="17" xfId="5" applyFont="1" applyFill="1" applyBorder="1" applyAlignment="1">
      <alignment horizontal="center" wrapText="1"/>
    </xf>
    <xf numFmtId="0" fontId="9" fillId="5" borderId="0" xfId="5" applyFont="1" applyFill="1" applyBorder="1" applyAlignment="1">
      <alignment horizontal="center" wrapText="1"/>
    </xf>
    <xf numFmtId="9" fontId="3" fillId="0" borderId="0" xfId="6" applyFont="1" applyAlignment="1">
      <alignment wrapText="1"/>
    </xf>
    <xf numFmtId="6" fontId="35" fillId="0" borderId="3" xfId="3" applyNumberFormat="1" applyFont="1" applyBorder="1"/>
    <xf numFmtId="6" fontId="4" fillId="0" borderId="17" xfId="0" applyNumberFormat="1" applyFont="1" applyBorder="1"/>
    <xf numFmtId="6" fontId="4" fillId="0" borderId="0" xfId="0" applyNumberFormat="1" applyFont="1"/>
    <xf numFmtId="164" fontId="0" fillId="11" borderId="17" xfId="0" applyFill="1" applyBorder="1"/>
    <xf numFmtId="43" fontId="0" fillId="0" borderId="0" xfId="0" applyNumberFormat="1" applyFill="1" applyBorder="1" applyAlignment="1">
      <alignment horizontal="left"/>
    </xf>
    <xf numFmtId="6" fontId="25" fillId="11" borderId="0" xfId="3" applyNumberFormat="1" applyFont="1" applyFill="1"/>
    <xf numFmtId="38" fontId="3" fillId="0" borderId="0" xfId="5" applyNumberFormat="1" applyBorder="1"/>
    <xf numFmtId="8" fontId="3" fillId="0" borderId="0" xfId="3"/>
    <xf numFmtId="6" fontId="40" fillId="0" borderId="0" xfId="3" applyNumberFormat="1" applyFont="1"/>
    <xf numFmtId="168" fontId="3" fillId="0" borderId="0" xfId="6" applyNumberFormat="1" applyAlignment="1">
      <alignment horizontal="left"/>
    </xf>
    <xf numFmtId="8" fontId="4" fillId="0" borderId="0" xfId="3" applyNumberFormat="1" applyFont="1"/>
    <xf numFmtId="164" fontId="2" fillId="0" borderId="0" xfId="0" applyFont="1"/>
    <xf numFmtId="167" fontId="19" fillId="0" borderId="0" xfId="0" applyNumberFormat="1" applyFont="1" applyBorder="1" applyProtection="1"/>
    <xf numFmtId="0" fontId="9" fillId="3" borderId="0" xfId="5" applyFont="1" applyFill="1" applyBorder="1" applyAlignment="1">
      <alignment horizontal="center" wrapText="1"/>
    </xf>
    <xf numFmtId="164" fontId="5" fillId="0" borderId="0" xfId="0" applyFont="1"/>
    <xf numFmtId="171" fontId="26" fillId="0" borderId="0" xfId="0" applyNumberFormat="1" applyFont="1"/>
    <xf numFmtId="164" fontId="26" fillId="0" borderId="0" xfId="0" applyFont="1"/>
    <xf numFmtId="171" fontId="3" fillId="0" borderId="0" xfId="0" applyNumberFormat="1" applyFont="1"/>
    <xf numFmtId="171" fontId="6" fillId="0" borderId="0" xfId="0" quotePrefix="1" applyNumberFormat="1" applyFont="1"/>
    <xf numFmtId="171" fontId="1" fillId="0" borderId="0" xfId="0" quotePrefix="1" applyNumberFormat="1" applyFont="1"/>
    <xf numFmtId="6" fontId="0" fillId="0" borderId="0" xfId="3" applyNumberFormat="1" applyFont="1" applyFill="1" applyBorder="1" applyAlignment="1"/>
    <xf numFmtId="6" fontId="0" fillId="0" borderId="17" xfId="3" applyNumberFormat="1" applyFont="1" applyFill="1" applyBorder="1" applyAlignment="1"/>
    <xf numFmtId="6" fontId="1" fillId="0" borderId="0" xfId="3" applyNumberFormat="1" applyFont="1" applyFill="1" applyBorder="1" applyAlignment="1"/>
    <xf numFmtId="6" fontId="26" fillId="0" borderId="0" xfId="3" applyNumberFormat="1" applyFont="1"/>
    <xf numFmtId="6" fontId="5" fillId="0" borderId="0" xfId="0" applyNumberFormat="1" applyFont="1" applyFill="1" applyBorder="1" applyAlignment="1"/>
    <xf numFmtId="6" fontId="0" fillId="0" borderId="0" xfId="0" applyNumberFormat="1" applyFill="1" applyBorder="1" applyAlignment="1"/>
    <xf numFmtId="6" fontId="0" fillId="0" borderId="46" xfId="0" applyNumberFormat="1" applyFill="1" applyBorder="1" applyAlignment="1"/>
    <xf numFmtId="6" fontId="0" fillId="0" borderId="46" xfId="3" applyNumberFormat="1" applyFont="1" applyFill="1" applyBorder="1" applyAlignment="1"/>
    <xf numFmtId="9" fontId="3" fillId="0" borderId="0" xfId="6" applyNumberFormat="1" applyFont="1" applyFill="1" applyBorder="1" applyAlignment="1">
      <alignment horizontal="center"/>
    </xf>
    <xf numFmtId="9" fontId="4" fillId="0" borderId="0" xfId="6" applyNumberFormat="1" applyFont="1" applyAlignment="1">
      <alignment horizontal="center"/>
    </xf>
    <xf numFmtId="6" fontId="0" fillId="0" borderId="0" xfId="3" applyNumberFormat="1" applyFont="1" applyFill="1" applyBorder="1" applyAlignment="1">
      <alignment horizontal="left"/>
    </xf>
    <xf numFmtId="6" fontId="3" fillId="0" borderId="0" xfId="3" applyNumberFormat="1" applyFont="1"/>
    <xf numFmtId="6" fontId="3" fillId="0" borderId="17" xfId="3" applyNumberFormat="1" applyFont="1" applyBorder="1"/>
    <xf numFmtId="6" fontId="0" fillId="0" borderId="0" xfId="3" quotePrefix="1" applyNumberFormat="1" applyFont="1"/>
    <xf numFmtId="6" fontId="6" fillId="0" borderId="0" xfId="3" applyNumberFormat="1" applyFont="1"/>
    <xf numFmtId="6" fontId="28" fillId="0" borderId="0" xfId="3" applyNumberFormat="1" applyFont="1"/>
    <xf numFmtId="6" fontId="28" fillId="0" borderId="17" xfId="3" applyNumberFormat="1" applyFont="1" applyBorder="1"/>
    <xf numFmtId="6" fontId="28" fillId="0" borderId="0" xfId="3" quotePrefix="1" applyNumberFormat="1" applyFont="1"/>
    <xf numFmtId="6" fontId="42" fillId="0" borderId="0" xfId="3" quotePrefix="1" applyNumberFormat="1" applyFont="1"/>
    <xf numFmtId="6" fontId="6" fillId="0" borderId="0" xfId="3" quotePrefix="1" applyNumberFormat="1" applyFont="1"/>
    <xf numFmtId="6" fontId="43" fillId="0" borderId="0" xfId="3" quotePrefix="1" applyNumberFormat="1" applyFont="1"/>
    <xf numFmtId="6" fontId="1" fillId="0" borderId="0" xfId="3" quotePrefix="1" applyNumberFormat="1" applyFont="1"/>
    <xf numFmtId="6" fontId="44" fillId="0" borderId="0" xfId="3" applyNumberFormat="1" applyFont="1"/>
    <xf numFmtId="6" fontId="3" fillId="0" borderId="0" xfId="3" quotePrefix="1" applyNumberFormat="1" applyFont="1"/>
    <xf numFmtId="6" fontId="0" fillId="0" borderId="42" xfId="3" applyNumberFormat="1" applyFont="1" applyBorder="1" applyAlignment="1">
      <alignment horizontal="center"/>
    </xf>
    <xf numFmtId="6" fontId="0" fillId="0" borderId="43" xfId="3" applyNumberFormat="1" applyFont="1" applyBorder="1"/>
    <xf numFmtId="164" fontId="0" fillId="0" borderId="38" xfId="0" applyBorder="1"/>
    <xf numFmtId="8" fontId="0" fillId="0" borderId="0" xfId="3" applyFont="1" applyFill="1" applyBorder="1" applyAlignment="1"/>
    <xf numFmtId="6" fontId="0" fillId="0" borderId="0" xfId="3" applyNumberFormat="1" applyFont="1" applyFill="1" applyBorder="1" applyAlignment="1">
      <alignment horizontal="right"/>
    </xf>
    <xf numFmtId="6" fontId="0" fillId="0" borderId="40" xfId="3" applyNumberFormat="1" applyFont="1" applyFill="1" applyBorder="1" applyAlignment="1">
      <alignment horizontal="right"/>
    </xf>
    <xf numFmtId="6" fontId="36" fillId="15" borderId="0" xfId="3" applyNumberFormat="1" applyFont="1" applyFill="1" applyBorder="1" applyAlignment="1">
      <alignment horizontal="right"/>
    </xf>
    <xf numFmtId="6" fontId="0" fillId="0" borderId="47" xfId="3" applyNumberFormat="1" applyFont="1" applyFill="1" applyBorder="1" applyAlignment="1">
      <alignment horizontal="right"/>
    </xf>
    <xf numFmtId="6" fontId="14" fillId="15" borderId="0" xfId="3" applyNumberFormat="1" applyFont="1" applyFill="1" applyBorder="1" applyAlignment="1">
      <alignment horizontal="right"/>
    </xf>
    <xf numFmtId="6" fontId="0" fillId="0" borderId="0" xfId="3" applyNumberFormat="1" applyFont="1" applyAlignment="1">
      <alignment horizontal="right"/>
    </xf>
    <xf numFmtId="6" fontId="0" fillId="0" borderId="41" xfId="3" applyNumberFormat="1" applyFont="1" applyFill="1" applyBorder="1" applyAlignment="1">
      <alignment horizontal="right"/>
    </xf>
    <xf numFmtId="6" fontId="0" fillId="0" borderId="38" xfId="3" applyNumberFormat="1" applyFont="1" applyFill="1" applyBorder="1" applyAlignment="1">
      <alignment horizontal="right"/>
    </xf>
    <xf numFmtId="6" fontId="0" fillId="0" borderId="38" xfId="3" applyNumberFormat="1" applyFont="1" applyBorder="1" applyAlignment="1">
      <alignment horizontal="right"/>
    </xf>
    <xf numFmtId="6" fontId="0" fillId="0" borderId="39" xfId="3" applyNumberFormat="1" applyFont="1" applyFill="1" applyBorder="1" applyAlignment="1">
      <alignment horizontal="right"/>
    </xf>
    <xf numFmtId="6" fontId="0" fillId="15" borderId="38" xfId="3" applyNumberFormat="1" applyFont="1" applyFill="1" applyBorder="1" applyAlignment="1">
      <alignment horizontal="right"/>
    </xf>
    <xf numFmtId="43" fontId="0" fillId="0" borderId="5" xfId="0" applyNumberFormat="1" applyFill="1" applyBorder="1" applyAlignment="1">
      <alignment horizontal="left"/>
    </xf>
    <xf numFmtId="6" fontId="0" fillId="0" borderId="5" xfId="3" applyNumberFormat="1" applyFont="1" applyFill="1" applyBorder="1" applyAlignment="1">
      <alignment horizontal="right"/>
    </xf>
    <xf numFmtId="6" fontId="0" fillId="0" borderId="17" xfId="3" applyNumberFormat="1" applyFont="1" applyFill="1" applyBorder="1" applyAlignment="1">
      <alignment horizontal="right"/>
    </xf>
    <xf numFmtId="164" fontId="0" fillId="0" borderId="17" xfId="0" applyFill="1" applyBorder="1" applyAlignment="1"/>
    <xf numFmtId="17" fontId="0" fillId="0" borderId="17" xfId="0" applyNumberFormat="1" applyFill="1" applyBorder="1" applyAlignment="1">
      <alignment horizontal="center"/>
    </xf>
    <xf numFmtId="171" fontId="0" fillId="0" borderId="0" xfId="0" applyNumberFormat="1" applyFill="1" applyBorder="1" applyAlignment="1">
      <alignment horizontal="left"/>
    </xf>
    <xf numFmtId="43" fontId="0" fillId="0" borderId="17" xfId="0" applyNumberFormat="1" applyFill="1" applyBorder="1" applyAlignment="1">
      <alignment horizontal="left"/>
    </xf>
    <xf numFmtId="6" fontId="3" fillId="0" borderId="0" xfId="3" applyNumberFormat="1" applyFont="1" applyAlignment="1">
      <alignment horizontal="right"/>
    </xf>
    <xf numFmtId="6" fontId="0" fillId="15" borderId="0" xfId="3" applyNumberFormat="1" applyFont="1" applyFill="1" applyBorder="1" applyAlignment="1">
      <alignment horizontal="right"/>
    </xf>
    <xf numFmtId="17" fontId="0" fillId="0" borderId="0" xfId="0" applyNumberFormat="1" applyAlignment="1">
      <alignment wrapText="1"/>
    </xf>
    <xf numFmtId="17" fontId="0" fillId="0" borderId="0" xfId="0" applyNumberFormat="1" applyFill="1" applyBorder="1" applyAlignment="1">
      <alignment horizontal="right" wrapText="1"/>
    </xf>
    <xf numFmtId="17" fontId="5" fillId="0" borderId="0" xfId="0" applyNumberFormat="1" applyFont="1" applyAlignment="1">
      <alignment horizontal="center" wrapText="1"/>
    </xf>
    <xf numFmtId="17" fontId="5" fillId="0" borderId="48" xfId="0" applyNumberFormat="1" applyFont="1" applyFill="1" applyBorder="1" applyAlignment="1">
      <alignment horizontal="center" wrapText="1"/>
    </xf>
    <xf numFmtId="17" fontId="4" fillId="0" borderId="0" xfId="0" applyNumberFormat="1" applyFont="1" applyFill="1" applyBorder="1" applyAlignment="1">
      <alignment horizontal="center" wrapText="1"/>
    </xf>
    <xf numFmtId="6" fontId="1" fillId="0" borderId="0" xfId="3" applyNumberFormat="1" applyFont="1" applyFill="1" applyBorder="1" applyAlignment="1">
      <alignment horizontal="right"/>
    </xf>
    <xf numFmtId="6" fontId="0" fillId="0" borderId="9" xfId="3" applyNumberFormat="1" applyFont="1" applyBorder="1"/>
    <xf numFmtId="38" fontId="3" fillId="0" borderId="0" xfId="1" applyNumberFormat="1" applyFont="1"/>
    <xf numFmtId="38" fontId="4" fillId="0" borderId="0" xfId="2" applyFont="1" applyFill="1" applyBorder="1" applyAlignment="1"/>
    <xf numFmtId="38" fontId="4" fillId="0" borderId="49" xfId="2" applyFont="1" applyFill="1" applyBorder="1" applyAlignment="1"/>
    <xf numFmtId="38" fontId="4" fillId="0" borderId="50" xfId="5" applyNumberFormat="1" applyFont="1" applyBorder="1"/>
    <xf numFmtId="0" fontId="3" fillId="0" borderId="0" xfId="5" applyBorder="1" applyAlignment="1">
      <alignment horizontal="left" wrapText="1"/>
    </xf>
    <xf numFmtId="0" fontId="3" fillId="0" borderId="30" xfId="5" applyBorder="1"/>
    <xf numFmtId="6" fontId="3" fillId="0" borderId="31" xfId="5" applyNumberFormat="1" applyBorder="1" applyAlignment="1">
      <alignment horizontal="center"/>
    </xf>
    <xf numFmtId="9" fontId="3" fillId="0" borderId="31" xfId="5" applyNumberFormat="1" applyBorder="1" applyAlignment="1">
      <alignment horizontal="center"/>
    </xf>
    <xf numFmtId="0" fontId="3" fillId="0" borderId="31" xfId="5" applyFont="1" applyBorder="1" applyAlignment="1">
      <alignment horizontal="center"/>
    </xf>
    <xf numFmtId="9" fontId="3" fillId="0" borderId="32" xfId="6" applyBorder="1" applyAlignment="1">
      <alignment horizontal="center"/>
    </xf>
    <xf numFmtId="0" fontId="3" fillId="0" borderId="44" xfId="5" applyBorder="1"/>
    <xf numFmtId="0" fontId="3" fillId="0" borderId="0" xfId="5" applyFont="1" applyBorder="1"/>
    <xf numFmtId="9" fontId="3" fillId="0" borderId="0" xfId="6" applyBorder="1" applyAlignment="1">
      <alignment horizontal="center"/>
    </xf>
    <xf numFmtId="9" fontId="3" fillId="0" borderId="0" xfId="5" applyNumberFormat="1" applyBorder="1" applyAlignment="1">
      <alignment horizontal="center"/>
    </xf>
    <xf numFmtId="170" fontId="3" fillId="0" borderId="0" xfId="5" applyNumberFormat="1" applyFont="1" applyBorder="1" applyAlignment="1">
      <alignment horizontal="center"/>
    </xf>
    <xf numFmtId="9" fontId="3" fillId="0" borderId="45" xfId="6" applyBorder="1" applyAlignment="1">
      <alignment horizontal="center"/>
    </xf>
    <xf numFmtId="6" fontId="3" fillId="0" borderId="0" xfId="5" applyNumberFormat="1" applyBorder="1" applyAlignment="1">
      <alignment horizontal="center"/>
    </xf>
    <xf numFmtId="38" fontId="3" fillId="0" borderId="0" xfId="5" applyNumberFormat="1" applyBorder="1" applyAlignment="1">
      <alignment horizontal="center"/>
    </xf>
    <xf numFmtId="9" fontId="3" fillId="0" borderId="0" xfId="6" applyFont="1" applyBorder="1" applyAlignment="1">
      <alignment horizontal="center"/>
    </xf>
    <xf numFmtId="0" fontId="3" fillId="0" borderId="0" xfId="5" applyBorder="1" applyAlignment="1">
      <alignment horizontal="center"/>
    </xf>
    <xf numFmtId="168" fontId="3" fillId="0" borderId="0" xfId="5" applyNumberFormat="1" applyBorder="1" applyAlignment="1">
      <alignment horizontal="center"/>
    </xf>
    <xf numFmtId="9" fontId="3" fillId="0" borderId="45" xfId="6" applyNumberFormat="1" applyBorder="1" applyAlignment="1">
      <alignment horizontal="center"/>
    </xf>
    <xf numFmtId="9" fontId="3" fillId="0" borderId="45" xfId="6" applyFont="1" applyBorder="1" applyAlignment="1">
      <alignment horizontal="center"/>
    </xf>
    <xf numFmtId="9" fontId="3" fillId="0" borderId="51" xfId="6" applyBorder="1" applyAlignment="1">
      <alignment horizontal="center"/>
    </xf>
    <xf numFmtId="0" fontId="3" fillId="0" borderId="42" xfId="5" applyBorder="1"/>
    <xf numFmtId="0" fontId="3" fillId="0" borderId="5" xfId="5" applyBorder="1" applyAlignment="1">
      <alignment horizontal="center"/>
    </xf>
    <xf numFmtId="0" fontId="3" fillId="0" borderId="43" xfId="5" applyBorder="1" applyAlignment="1">
      <alignment horizontal="center"/>
    </xf>
    <xf numFmtId="0" fontId="3" fillId="0" borderId="28" xfId="5" applyBorder="1" applyAlignment="1">
      <alignment horizontal="left" wrapText="1"/>
    </xf>
    <xf numFmtId="0" fontId="3" fillId="0" borderId="29" xfId="5" applyBorder="1" applyAlignment="1">
      <alignment horizontal="center" wrapText="1"/>
    </xf>
    <xf numFmtId="0" fontId="3" fillId="0" borderId="30" xfId="5" applyBorder="1" applyAlignment="1">
      <alignment horizontal="center"/>
    </xf>
    <xf numFmtId="0" fontId="3" fillId="0" borderId="31" xfId="5" applyBorder="1" applyAlignment="1">
      <alignment horizontal="center"/>
    </xf>
    <xf numFmtId="9" fontId="3" fillId="0" borderId="32" xfId="6" applyFont="1" applyBorder="1" applyAlignment="1">
      <alignment horizontal="center"/>
    </xf>
    <xf numFmtId="0" fontId="3" fillId="0" borderId="42" xfId="5" applyFont="1" applyBorder="1" applyAlignment="1">
      <alignment horizontal="center" wrapText="1"/>
    </xf>
    <xf numFmtId="0" fontId="3" fillId="0" borderId="5" xfId="5" applyFont="1" applyBorder="1" applyAlignment="1">
      <alignment horizontal="center" wrapText="1"/>
    </xf>
    <xf numFmtId="9" fontId="3" fillId="0" borderId="43" xfId="6" applyFont="1" applyBorder="1" applyAlignment="1">
      <alignment horizontal="center" wrapText="1"/>
    </xf>
    <xf numFmtId="0" fontId="3" fillId="0" borderId="5" xfId="5" applyFont="1" applyBorder="1"/>
    <xf numFmtId="0" fontId="3" fillId="0" borderId="52" xfId="5" applyBorder="1"/>
    <xf numFmtId="0" fontId="3" fillId="0" borderId="53" xfId="5" applyFont="1" applyBorder="1" applyAlignment="1">
      <alignment horizontal="left"/>
    </xf>
    <xf numFmtId="0" fontId="3" fillId="0" borderId="53" xfId="5" applyBorder="1" applyAlignment="1">
      <alignment horizontal="center"/>
    </xf>
    <xf numFmtId="9" fontId="3" fillId="0" borderId="53" xfId="5" applyNumberFormat="1" applyBorder="1" applyAlignment="1">
      <alignment horizontal="center"/>
    </xf>
    <xf numFmtId="9" fontId="3" fillId="0" borderId="54" xfId="6" applyBorder="1" applyAlignment="1">
      <alignment horizontal="center"/>
    </xf>
    <xf numFmtId="9" fontId="3" fillId="0" borderId="5" xfId="5" applyNumberFormat="1" applyBorder="1" applyAlignment="1">
      <alignment horizontal="center"/>
    </xf>
    <xf numFmtId="9" fontId="25" fillId="0" borderId="5" xfId="5" applyNumberFormat="1" applyFont="1" applyBorder="1" applyAlignment="1">
      <alignment horizontal="center"/>
    </xf>
    <xf numFmtId="9" fontId="25" fillId="0" borderId="31" xfId="5" applyNumberFormat="1" applyFont="1" applyBorder="1" applyAlignment="1">
      <alignment horizontal="center"/>
    </xf>
    <xf numFmtId="9" fontId="25" fillId="0" borderId="0" xfId="5" applyNumberFormat="1" applyFont="1" applyBorder="1" applyAlignment="1">
      <alignment horizontal="center"/>
    </xf>
    <xf numFmtId="0" fontId="15" fillId="8" borderId="2" xfId="5" applyFont="1" applyFill="1" applyBorder="1" applyAlignment="1">
      <alignment horizontal="center" wrapText="1"/>
    </xf>
    <xf numFmtId="0" fontId="16" fillId="8" borderId="55" xfId="5" applyFont="1" applyFill="1" applyBorder="1" applyAlignment="1">
      <alignment horizontal="center"/>
    </xf>
    <xf numFmtId="0" fontId="16" fillId="8" borderId="56" xfId="5" applyFont="1" applyFill="1" applyBorder="1" applyAlignment="1">
      <alignment horizontal="center"/>
    </xf>
    <xf numFmtId="8" fontId="4" fillId="0" borderId="17" xfId="3" applyNumberFormat="1" applyFont="1" applyBorder="1"/>
    <xf numFmtId="6" fontId="4" fillId="0" borderId="57" xfId="3" applyNumberFormat="1" applyFont="1" applyBorder="1"/>
    <xf numFmtId="38" fontId="0" fillId="0" borderId="40" xfId="1" applyNumberFormat="1" applyFont="1" applyBorder="1"/>
    <xf numFmtId="171" fontId="0" fillId="0" borderId="0" xfId="0" applyNumberFormat="1"/>
    <xf numFmtId="164" fontId="5" fillId="0" borderId="42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164" fontId="5" fillId="0" borderId="43" xfId="0" applyFont="1" applyBorder="1" applyAlignment="1">
      <alignment horizontal="center"/>
    </xf>
    <xf numFmtId="164" fontId="26" fillId="0" borderId="30" xfId="0" applyFont="1" applyBorder="1" applyAlignment="1">
      <alignment horizontal="center"/>
    </xf>
    <xf numFmtId="6" fontId="26" fillId="0" borderId="31" xfId="3" applyNumberFormat="1" applyFont="1" applyBorder="1"/>
    <xf numFmtId="6" fontId="26" fillId="0" borderId="32" xfId="3" applyNumberFormat="1" applyFont="1" applyBorder="1"/>
    <xf numFmtId="164" fontId="26" fillId="0" borderId="44" xfId="0" applyFont="1" applyBorder="1" applyAlignment="1">
      <alignment horizontal="center"/>
    </xf>
    <xf numFmtId="6" fontId="26" fillId="0" borderId="0" xfId="3" applyNumberFormat="1" applyFont="1" applyBorder="1"/>
    <xf numFmtId="6" fontId="26" fillId="0" borderId="45" xfId="3" applyNumberFormat="1" applyFont="1" applyBorder="1"/>
    <xf numFmtId="164" fontId="26" fillId="0" borderId="42" xfId="0" applyFont="1" applyBorder="1" applyAlignment="1">
      <alignment horizontal="center"/>
    </xf>
    <xf numFmtId="6" fontId="26" fillId="0" borderId="5" xfId="3" applyNumberFormat="1" applyFont="1" applyBorder="1"/>
    <xf numFmtId="6" fontId="26" fillId="0" borderId="43" xfId="3" applyNumberFormat="1" applyFont="1" applyBorder="1"/>
    <xf numFmtId="6" fontId="26" fillId="0" borderId="0" xfId="3" applyNumberFormat="1" applyFont="1" applyAlignment="1">
      <alignment horizontal="right"/>
    </xf>
    <xf numFmtId="164" fontId="26" fillId="0" borderId="31" xfId="0" applyFont="1" applyBorder="1" applyAlignment="1">
      <alignment horizontal="center"/>
    </xf>
    <xf numFmtId="164" fontId="26" fillId="0" borderId="0" xfId="0" applyFont="1" applyBorder="1" applyAlignment="1">
      <alignment horizontal="center"/>
    </xf>
    <xf numFmtId="164" fontId="26" fillId="0" borderId="5" xfId="0" applyFont="1" applyBorder="1" applyAlignment="1">
      <alignment horizontal="center"/>
    </xf>
    <xf numFmtId="164" fontId="26" fillId="0" borderId="0" xfId="0" applyFont="1" applyAlignment="1">
      <alignment horizontal="right"/>
    </xf>
    <xf numFmtId="164" fontId="26" fillId="0" borderId="0" xfId="0" applyFont="1" applyAlignment="1">
      <alignment horizontal="center"/>
    </xf>
    <xf numFmtId="9" fontId="26" fillId="0" borderId="0" xfId="6" applyFont="1"/>
    <xf numFmtId="38" fontId="26" fillId="0" borderId="0" xfId="1" applyNumberFormat="1" applyFont="1" applyAlignment="1">
      <alignment horizontal="left"/>
    </xf>
    <xf numFmtId="38" fontId="26" fillId="0" borderId="0" xfId="1" applyNumberFormat="1" applyFont="1" applyAlignment="1">
      <alignment horizontal="right"/>
    </xf>
    <xf numFmtId="164" fontId="26" fillId="0" borderId="17" xfId="0" applyFont="1" applyBorder="1"/>
    <xf numFmtId="168" fontId="26" fillId="0" borderId="0" xfId="6" applyNumberFormat="1" applyFont="1"/>
    <xf numFmtId="168" fontId="26" fillId="0" borderId="0" xfId="0" applyNumberFormat="1" applyFont="1"/>
    <xf numFmtId="164" fontId="26" fillId="0" borderId="0" xfId="0" applyFont="1" applyAlignment="1">
      <alignment wrapText="1"/>
    </xf>
    <xf numFmtId="38" fontId="26" fillId="0" borderId="0" xfId="1" applyNumberFormat="1" applyFont="1"/>
    <xf numFmtId="164" fontId="26" fillId="0" borderId="17" xfId="0" applyFont="1" applyBorder="1" applyAlignment="1">
      <alignment wrapText="1"/>
    </xf>
    <xf numFmtId="164" fontId="26" fillId="0" borderId="17" xfId="0" applyFont="1" applyBorder="1" applyAlignment="1">
      <alignment horizontal="right" wrapText="1"/>
    </xf>
    <xf numFmtId="164" fontId="26" fillId="0" borderId="17" xfId="0" applyFont="1" applyBorder="1" applyAlignment="1">
      <alignment horizontal="center" wrapText="1"/>
    </xf>
    <xf numFmtId="16" fontId="26" fillId="0" borderId="17" xfId="0" applyNumberFormat="1" applyFont="1" applyBorder="1" applyAlignment="1">
      <alignment horizontal="center"/>
    </xf>
    <xf numFmtId="9" fontId="26" fillId="0" borderId="0" xfId="6" applyFont="1" applyAlignment="1">
      <alignment horizontal="right"/>
    </xf>
    <xf numFmtId="6" fontId="0" fillId="0" borderId="42" xfId="3" applyNumberFormat="1" applyFont="1" applyBorder="1" applyAlignment="1"/>
    <xf numFmtId="6" fontId="0" fillId="0" borderId="5" xfId="3" applyNumberFormat="1" applyFont="1" applyBorder="1" applyAlignment="1"/>
    <xf numFmtId="6" fontId="0" fillId="0" borderId="43" xfId="3" applyNumberFormat="1" applyFont="1" applyBorder="1" applyAlignment="1"/>
    <xf numFmtId="6" fontId="0" fillId="0" borderId="43" xfId="3" applyNumberFormat="1" applyFont="1" applyBorder="1" applyAlignment="1">
      <alignment horizontal="center"/>
    </xf>
    <xf numFmtId="164" fontId="0" fillId="11" borderId="0" xfId="0" applyFill="1" applyBorder="1"/>
    <xf numFmtId="40" fontId="0" fillId="12" borderId="17" xfId="1" applyFont="1" applyFill="1" applyBorder="1"/>
    <xf numFmtId="164" fontId="45" fillId="0" borderId="0" xfId="0" applyFont="1"/>
    <xf numFmtId="43" fontId="0" fillId="0" borderId="0" xfId="0" applyNumberFormat="1"/>
    <xf numFmtId="164" fontId="44" fillId="0" borderId="0" xfId="0" applyFont="1"/>
    <xf numFmtId="6" fontId="0" fillId="0" borderId="5" xfId="3" applyNumberFormat="1" applyFont="1" applyBorder="1"/>
    <xf numFmtId="6" fontId="28" fillId="0" borderId="5" xfId="3" applyNumberFormat="1" applyFont="1" applyBorder="1"/>
    <xf numFmtId="6" fontId="0" fillId="0" borderId="5" xfId="3" applyNumberFormat="1" applyFont="1" applyFill="1" applyBorder="1" applyAlignment="1"/>
    <xf numFmtId="6" fontId="0" fillId="0" borderId="26" xfId="3" applyNumberFormat="1" applyFont="1" applyBorder="1"/>
    <xf numFmtId="164" fontId="44" fillId="0" borderId="5" xfId="0" applyFont="1" applyBorder="1"/>
    <xf numFmtId="6" fontId="44" fillId="0" borderId="5" xfId="3" applyNumberFormat="1" applyFont="1" applyBorder="1"/>
    <xf numFmtId="6" fontId="28" fillId="0" borderId="0" xfId="3" applyNumberFormat="1" applyFont="1" applyBorder="1"/>
    <xf numFmtId="6" fontId="0" fillId="0" borderId="5" xfId="3" quotePrefix="1" applyNumberFormat="1" applyFont="1" applyBorder="1"/>
    <xf numFmtId="6" fontId="28" fillId="0" borderId="5" xfId="3" quotePrefix="1" applyNumberFormat="1" applyFont="1" applyBorder="1"/>
    <xf numFmtId="6" fontId="44" fillId="0" borderId="0" xfId="3" applyNumberFormat="1" applyFont="1" applyAlignment="1">
      <alignment horizontal="right"/>
    </xf>
    <xf numFmtId="6" fontId="0" fillId="0" borderId="16" xfId="3" applyNumberFormat="1" applyFont="1" applyBorder="1"/>
    <xf numFmtId="6" fontId="3" fillId="0" borderId="0" xfId="3" applyNumberFormat="1" applyFont="1" applyFill="1" applyBorder="1" applyAlignment="1">
      <alignment horizontal="right"/>
    </xf>
    <xf numFmtId="6" fontId="0" fillId="0" borderId="17" xfId="3" applyNumberFormat="1" applyFont="1" applyBorder="1" applyAlignment="1">
      <alignment wrapText="1"/>
    </xf>
    <xf numFmtId="6" fontId="23" fillId="0" borderId="0" xfId="3" applyNumberFormat="1" applyFont="1"/>
    <xf numFmtId="6" fontId="1" fillId="0" borderId="0" xfId="3" applyNumberFormat="1" applyFont="1" applyAlignment="1">
      <alignment horizontal="center"/>
    </xf>
    <xf numFmtId="6" fontId="3" fillId="11" borderId="0" xfId="3" applyNumberFormat="1" applyFill="1"/>
    <xf numFmtId="172" fontId="3" fillId="11" borderId="0" xfId="3" applyNumberFormat="1" applyFill="1"/>
    <xf numFmtId="6" fontId="3" fillId="0" borderId="17" xfId="3" applyNumberFormat="1" applyBorder="1"/>
    <xf numFmtId="40" fontId="3" fillId="12" borderId="17" xfId="1" applyFill="1" applyBorder="1"/>
    <xf numFmtId="6" fontId="3" fillId="0" borderId="0" xfId="3" applyNumberFormat="1" applyBorder="1"/>
    <xf numFmtId="8" fontId="3" fillId="0" borderId="40" xfId="3" applyBorder="1"/>
    <xf numFmtId="40" fontId="0" fillId="0" borderId="0" xfId="1" quotePrefix="1" applyFont="1"/>
    <xf numFmtId="40" fontId="0" fillId="0" borderId="0" xfId="1" applyFont="1" applyFill="1" applyBorder="1" applyAlignment="1">
      <alignment horizontal="right"/>
    </xf>
    <xf numFmtId="40" fontId="3" fillId="0" borderId="0" xfId="1" applyFont="1"/>
    <xf numFmtId="40" fontId="3" fillId="0" borderId="0" xfId="1" quotePrefix="1" applyFont="1"/>
    <xf numFmtId="40" fontId="0" fillId="0" borderId="0" xfId="1" applyFont="1" applyFill="1" applyBorder="1" applyAlignment="1"/>
    <xf numFmtId="40" fontId="0" fillId="0" borderId="9" xfId="1" applyFont="1" applyBorder="1"/>
    <xf numFmtId="164" fontId="0" fillId="16" borderId="40" xfId="0" applyFill="1" applyBorder="1"/>
    <xf numFmtId="6" fontId="44" fillId="16" borderId="0" xfId="3" applyNumberFormat="1" applyFont="1" applyFill="1" applyAlignment="1">
      <alignment horizontal="right"/>
    </xf>
    <xf numFmtId="168" fontId="1" fillId="0" borderId="0" xfId="6" applyNumberFormat="1" applyFont="1" applyFill="1" applyBorder="1" applyAlignment="1"/>
    <xf numFmtId="9" fontId="0" fillId="0" borderId="0" xfId="6" applyFont="1" applyFill="1" applyBorder="1" applyAlignment="1"/>
    <xf numFmtId="6" fontId="0" fillId="0" borderId="0" xfId="3" applyNumberFormat="1" applyFont="1" applyAlignment="1">
      <alignment horizontal="center"/>
    </xf>
    <xf numFmtId="6" fontId="0" fillId="0" borderId="17" xfId="3" applyNumberFormat="1" applyFont="1" applyBorder="1" applyAlignment="1">
      <alignment horizontal="center"/>
    </xf>
    <xf numFmtId="6" fontId="2" fillId="11" borderId="0" xfId="3" applyNumberFormat="1" applyFont="1" applyFill="1"/>
    <xf numFmtId="8" fontId="3" fillId="0" borderId="0" xfId="3" applyBorder="1"/>
    <xf numFmtId="8" fontId="46" fillId="0" borderId="17" xfId="3" applyFont="1" applyBorder="1" applyAlignment="1">
      <alignment horizontal="center" wrapText="1"/>
    </xf>
    <xf numFmtId="164" fontId="46" fillId="0" borderId="17" xfId="0" applyFont="1" applyBorder="1" applyAlignment="1">
      <alignment horizontal="center" wrapText="1"/>
    </xf>
    <xf numFmtId="164" fontId="26" fillId="0" borderId="0" xfId="0" applyFont="1" applyAlignment="1">
      <alignment horizontal="left"/>
    </xf>
    <xf numFmtId="164" fontId="5" fillId="0" borderId="0" xfId="0" applyFont="1" applyAlignment="1">
      <alignment horizontal="center"/>
    </xf>
    <xf numFmtId="164" fontId="3" fillId="11" borderId="0" xfId="0" applyFont="1" applyFill="1"/>
    <xf numFmtId="164" fontId="5" fillId="0" borderId="0" xfId="0" applyFont="1" applyAlignment="1">
      <alignment wrapText="1"/>
    </xf>
    <xf numFmtId="164" fontId="47" fillId="0" borderId="0" xfId="0" applyFont="1" applyAlignment="1">
      <alignment wrapText="1"/>
    </xf>
    <xf numFmtId="164" fontId="48" fillId="0" borderId="0" xfId="0" applyFont="1" applyAlignment="1">
      <alignment vertical="center"/>
    </xf>
    <xf numFmtId="4" fontId="48" fillId="9" borderId="0" xfId="0" applyNumberFormat="1" applyFont="1" applyFill="1" applyAlignment="1">
      <alignment vertical="center"/>
    </xf>
    <xf numFmtId="164" fontId="49" fillId="0" borderId="0" xfId="0" applyFont="1" applyAlignment="1">
      <alignment horizontal="center"/>
    </xf>
    <xf numFmtId="4" fontId="49" fillId="0" borderId="0" xfId="0" applyNumberFormat="1" applyFont="1" applyAlignment="1">
      <alignment horizontal="center"/>
    </xf>
    <xf numFmtId="4" fontId="49" fillId="9" borderId="0" xfId="0" applyNumberFormat="1" applyFont="1" applyFill="1" applyAlignment="1">
      <alignment horizontal="center"/>
    </xf>
    <xf numFmtId="49" fontId="39" fillId="0" borderId="0" xfId="0" applyNumberFormat="1" applyFont="1"/>
    <xf numFmtId="4" fontId="39" fillId="0" borderId="0" xfId="0" applyNumberFormat="1" applyFont="1"/>
    <xf numFmtId="4" fontId="39" fillId="9" borderId="0" xfId="0" applyNumberFormat="1" applyFont="1" applyFill="1"/>
    <xf numFmtId="49" fontId="48" fillId="0" borderId="0" xfId="0" applyNumberFormat="1" applyFont="1"/>
    <xf numFmtId="4" fontId="48" fillId="0" borderId="0" xfId="0" applyNumberFormat="1" applyFont="1"/>
    <xf numFmtId="4" fontId="48" fillId="9" borderId="0" xfId="0" applyNumberFormat="1" applyFont="1" applyFill="1"/>
    <xf numFmtId="164" fontId="39" fillId="0" borderId="0" xfId="0" applyFont="1"/>
    <xf numFmtId="164" fontId="48" fillId="0" borderId="0" xfId="0" applyFont="1"/>
    <xf numFmtId="3" fontId="49" fillId="0" borderId="0" xfId="0" applyNumberFormat="1" applyFont="1" applyAlignment="1">
      <alignment horizontal="center"/>
    </xf>
    <xf numFmtId="3" fontId="39" fillId="0" borderId="0" xfId="0" applyNumberFormat="1" applyFont="1"/>
    <xf numFmtId="3" fontId="48" fillId="0" borderId="0" xfId="0" applyNumberFormat="1" applyFont="1"/>
    <xf numFmtId="3" fontId="52" fillId="0" borderId="0" xfId="0" applyNumberFormat="1" applyFont="1"/>
    <xf numFmtId="38" fontId="48" fillId="0" borderId="0" xfId="0" applyNumberFormat="1" applyFont="1" applyAlignment="1">
      <alignment horizontal="center" vertical="center"/>
    </xf>
    <xf numFmtId="38" fontId="49" fillId="0" borderId="0" xfId="0" applyNumberFormat="1" applyFont="1" applyAlignment="1">
      <alignment horizontal="center"/>
    </xf>
    <xf numFmtId="38" fontId="39" fillId="0" borderId="0" xfId="0" applyNumberFormat="1" applyFont="1"/>
    <xf numFmtId="38" fontId="48" fillId="0" borderId="0" xfId="0" applyNumberFormat="1" applyFont="1"/>
    <xf numFmtId="164" fontId="53" fillId="0" borderId="0" xfId="0" applyFont="1" applyAlignment="1">
      <alignment wrapText="1"/>
    </xf>
    <xf numFmtId="38" fontId="39" fillId="0" borderId="0" xfId="1" applyNumberFormat="1" applyFont="1"/>
    <xf numFmtId="49" fontId="39" fillId="0" borderId="17" xfId="0" applyNumberFormat="1" applyFont="1" applyBorder="1"/>
    <xf numFmtId="3" fontId="39" fillId="0" borderId="17" xfId="0" applyNumberFormat="1" applyFont="1" applyBorder="1"/>
    <xf numFmtId="38" fontId="39" fillId="0" borderId="17" xfId="0" applyNumberFormat="1" applyFont="1" applyBorder="1"/>
    <xf numFmtId="49" fontId="50" fillId="0" borderId="17" xfId="0" applyNumberFormat="1" applyFont="1" applyBorder="1"/>
    <xf numFmtId="164" fontId="51" fillId="0" borderId="17" xfId="0" applyFont="1" applyBorder="1" applyAlignment="1">
      <alignment wrapText="1"/>
    </xf>
    <xf numFmtId="3" fontId="50" fillId="0" borderId="17" xfId="0" applyNumberFormat="1" applyFont="1" applyBorder="1"/>
    <xf numFmtId="38" fontId="50" fillId="0" borderId="17" xfId="0" applyNumberFormat="1" applyFont="1" applyBorder="1"/>
    <xf numFmtId="164" fontId="50" fillId="0" borderId="17" xfId="0" applyFont="1" applyBorder="1"/>
    <xf numFmtId="164" fontId="51" fillId="0" borderId="17" xfId="0" applyFont="1" applyBorder="1"/>
    <xf numFmtId="3" fontId="52" fillId="0" borderId="17" xfId="0" applyNumberFormat="1" applyFont="1" applyBorder="1"/>
    <xf numFmtId="3" fontId="55" fillId="0" borderId="40" xfId="0" applyNumberFormat="1" applyFont="1" applyBorder="1"/>
    <xf numFmtId="164" fontId="39" fillId="0" borderId="17" xfId="0" applyFont="1" applyBorder="1"/>
    <xf numFmtId="49" fontId="48" fillId="0" borderId="58" xfId="0" applyNumberFormat="1" applyFont="1" applyBorder="1"/>
    <xf numFmtId="3" fontId="48" fillId="0" borderId="58" xfId="0" applyNumberFormat="1" applyFont="1" applyBorder="1"/>
    <xf numFmtId="38" fontId="48" fillId="0" borderId="58" xfId="0" applyNumberFormat="1" applyFont="1" applyBorder="1"/>
    <xf numFmtId="164" fontId="48" fillId="0" borderId="58" xfId="0" applyFont="1" applyBorder="1"/>
    <xf numFmtId="164" fontId="0" fillId="0" borderId="58" xfId="0" applyBorder="1"/>
    <xf numFmtId="49" fontId="39" fillId="0" borderId="3" xfId="0" applyNumberFormat="1" applyFont="1" applyBorder="1"/>
    <xf numFmtId="164" fontId="26" fillId="0" borderId="3" xfId="0" applyFont="1" applyBorder="1" applyAlignment="1">
      <alignment wrapText="1"/>
    </xf>
    <xf numFmtId="3" fontId="39" fillId="0" borderId="3" xfId="0" applyNumberFormat="1" applyFont="1" applyBorder="1"/>
    <xf numFmtId="38" fontId="39" fillId="0" borderId="3" xfId="0" applyNumberFormat="1" applyFont="1" applyBorder="1"/>
    <xf numFmtId="164" fontId="26" fillId="0" borderId="3" xfId="0" applyFont="1" applyBorder="1"/>
    <xf numFmtId="164" fontId="0" fillId="0" borderId="3" xfId="0" applyBorder="1"/>
    <xf numFmtId="38" fontId="39" fillId="0" borderId="40" xfId="0" applyNumberFormat="1" applyFont="1" applyBorder="1"/>
    <xf numFmtId="171" fontId="0" fillId="0" borderId="40" xfId="0" applyNumberFormat="1" applyBorder="1"/>
    <xf numFmtId="164" fontId="0" fillId="17" borderId="0" xfId="0" applyFill="1"/>
    <xf numFmtId="17" fontId="0" fillId="17" borderId="0" xfId="0" applyNumberFormat="1" applyFill="1" applyAlignment="1">
      <alignment horizontal="center"/>
    </xf>
    <xf numFmtId="169" fontId="0" fillId="17" borderId="0" xfId="1" applyNumberFormat="1" applyFont="1" applyFill="1" applyAlignment="1">
      <alignment horizontal="center"/>
    </xf>
    <xf numFmtId="164" fontId="0" fillId="0" borderId="41" xfId="0" applyBorder="1"/>
    <xf numFmtId="171" fontId="0" fillId="0" borderId="38" xfId="0" applyNumberFormat="1" applyBorder="1"/>
    <xf numFmtId="164" fontId="1" fillId="0" borderId="17" xfId="0" applyFont="1" applyBorder="1" applyAlignment="1">
      <alignment horizontal="center" wrapText="1"/>
    </xf>
    <xf numFmtId="164" fontId="31" fillId="0" borderId="0" xfId="0" applyFont="1"/>
    <xf numFmtId="164" fontId="0" fillId="0" borderId="31" xfId="0" applyBorder="1"/>
    <xf numFmtId="164" fontId="0" fillId="0" borderId="44" xfId="0" applyBorder="1"/>
    <xf numFmtId="164" fontId="0" fillId="0" borderId="42" xfId="0" applyBorder="1"/>
    <xf numFmtId="38" fontId="57" fillId="0" borderId="5" xfId="1" applyNumberFormat="1" applyFont="1" applyBorder="1"/>
    <xf numFmtId="4" fontId="3" fillId="11" borderId="0" xfId="3" applyNumberFormat="1" applyFont="1" applyFill="1"/>
    <xf numFmtId="4" fontId="3" fillId="11" borderId="0" xfId="3" applyNumberFormat="1" applyFill="1"/>
    <xf numFmtId="4" fontId="3" fillId="0" borderId="0" xfId="1" applyNumberFormat="1"/>
    <xf numFmtId="4" fontId="0" fillId="11" borderId="0" xfId="0" applyNumberFormat="1" applyFill="1"/>
    <xf numFmtId="4" fontId="0" fillId="11" borderId="0" xfId="1" applyNumberFormat="1" applyFont="1" applyFill="1"/>
    <xf numFmtId="4" fontId="3" fillId="0" borderId="0" xfId="3" applyNumberFormat="1"/>
    <xf numFmtId="4" fontId="3" fillId="0" borderId="17" xfId="3" applyNumberFormat="1" applyBorder="1"/>
    <xf numFmtId="4" fontId="0" fillId="11" borderId="0" xfId="1" applyNumberFormat="1" applyFont="1" applyFill="1" applyBorder="1"/>
    <xf numFmtId="175" fontId="0" fillId="0" borderId="0" xfId="0" applyNumberFormat="1"/>
    <xf numFmtId="4" fontId="3" fillId="0" borderId="0" xfId="3" applyNumberFormat="1" applyFont="1"/>
    <xf numFmtId="165" fontId="58" fillId="7" borderId="18" xfId="6" applyNumberFormat="1" applyFont="1" applyFill="1" applyBorder="1" applyAlignment="1">
      <alignment horizontal="center"/>
    </xf>
    <xf numFmtId="165" fontId="4" fillId="0" borderId="0" xfId="5" applyNumberFormat="1" applyFont="1"/>
    <xf numFmtId="17" fontId="3" fillId="0" borderId="17" xfId="5" applyNumberFormat="1" applyBorder="1"/>
    <xf numFmtId="38" fontId="4" fillId="0" borderId="17" xfId="2" applyFont="1" applyBorder="1"/>
    <xf numFmtId="38" fontId="3" fillId="0" borderId="17" xfId="5" applyNumberFormat="1" applyBorder="1"/>
    <xf numFmtId="38" fontId="0" fillId="0" borderId="17" xfId="1" applyNumberFormat="1" applyFont="1" applyBorder="1"/>
    <xf numFmtId="168" fontId="3" fillId="0" borderId="17" xfId="6" applyNumberFormat="1" applyBorder="1"/>
    <xf numFmtId="9" fontId="3" fillId="0" borderId="17" xfId="6" applyBorder="1"/>
    <xf numFmtId="168" fontId="3" fillId="0" borderId="17" xfId="6" applyNumberFormat="1" applyBorder="1" applyAlignment="1">
      <alignment horizontal="left"/>
    </xf>
    <xf numFmtId="172" fontId="3" fillId="0" borderId="0" xfId="3" applyNumberFormat="1"/>
    <xf numFmtId="49" fontId="1" fillId="0" borderId="0" xfId="0" applyNumberFormat="1" applyFont="1" applyAlignment="1">
      <alignment horizontal="left"/>
    </xf>
    <xf numFmtId="10" fontId="3" fillId="0" borderId="0" xfId="6" applyNumberFormat="1"/>
    <xf numFmtId="172" fontId="1" fillId="0" borderId="0" xfId="3" applyNumberFormat="1" applyFont="1" applyAlignment="1">
      <alignment horizontal="center"/>
    </xf>
    <xf numFmtId="172" fontId="1" fillId="0" borderId="0" xfId="3" applyNumberFormat="1" applyFont="1"/>
    <xf numFmtId="10" fontId="1" fillId="0" borderId="0" xfId="6" applyNumberFormat="1" applyFont="1" applyAlignment="1">
      <alignment horizontal="center"/>
    </xf>
    <xf numFmtId="172" fontId="1" fillId="0" borderId="5" xfId="3" applyNumberFormat="1" applyFont="1" applyBorder="1" applyAlignment="1">
      <alignment horizontal="center"/>
    </xf>
    <xf numFmtId="172" fontId="1" fillId="0" borderId="0" xfId="3" applyNumberFormat="1" applyFont="1" applyBorder="1"/>
    <xf numFmtId="172" fontId="1" fillId="0" borderId="0" xfId="3" applyNumberFormat="1" applyFont="1" applyBorder="1" applyAlignment="1">
      <alignment horizontal="center"/>
    </xf>
    <xf numFmtId="164" fontId="1" fillId="0" borderId="0" xfId="0" applyFont="1" applyAlignment="1"/>
    <xf numFmtId="10" fontId="3" fillId="0" borderId="0" xfId="6" applyNumberFormat="1" applyFont="1" applyAlignment="1">
      <alignment horizontal="right"/>
    </xf>
    <xf numFmtId="10" fontId="3" fillId="0" borderId="0" xfId="6" applyNumberFormat="1" applyFont="1" applyAlignment="1">
      <alignment horizontal="left"/>
    </xf>
    <xf numFmtId="172" fontId="3" fillId="0" borderId="5" xfId="3" applyNumberFormat="1" applyBorder="1"/>
    <xf numFmtId="172" fontId="3" fillId="0" borderId="0" xfId="3" applyNumberFormat="1" applyBorder="1"/>
    <xf numFmtId="164" fontId="1" fillId="0" borderId="0" xfId="0" applyFont="1" applyAlignment="1">
      <alignment horizontal="right"/>
    </xf>
    <xf numFmtId="164" fontId="60" fillId="0" borderId="0" xfId="0" applyFont="1"/>
    <xf numFmtId="164" fontId="60" fillId="0" borderId="17" xfId="0" applyFont="1" applyBorder="1"/>
    <xf numFmtId="164" fontId="60" fillId="11" borderId="0" xfId="0" applyFont="1" applyFill="1"/>
    <xf numFmtId="6" fontId="60" fillId="11" borderId="0" xfId="3" applyNumberFormat="1" applyFont="1" applyFill="1"/>
    <xf numFmtId="6" fontId="60" fillId="0" borderId="0" xfId="3" applyNumberFormat="1" applyFont="1"/>
    <xf numFmtId="164" fontId="60" fillId="11" borderId="17" xfId="0" applyFont="1" applyFill="1" applyBorder="1"/>
    <xf numFmtId="8" fontId="60" fillId="0" borderId="0" xfId="3" applyFont="1"/>
    <xf numFmtId="8" fontId="60" fillId="0" borderId="40" xfId="3" applyFont="1" applyBorder="1"/>
    <xf numFmtId="164" fontId="60" fillId="0" borderId="0" xfId="0" applyFont="1" applyFill="1" applyBorder="1"/>
    <xf numFmtId="49" fontId="39" fillId="18" borderId="17" xfId="0" applyNumberFormat="1" applyFont="1" applyFill="1" applyBorder="1"/>
    <xf numFmtId="3" fontId="39" fillId="18" borderId="17" xfId="0" applyNumberFormat="1" applyFont="1" applyFill="1" applyBorder="1"/>
    <xf numFmtId="38" fontId="39" fillId="18" borderId="17" xfId="0" applyNumberFormat="1" applyFont="1" applyFill="1" applyBorder="1"/>
    <xf numFmtId="49" fontId="54" fillId="18" borderId="17" xfId="0" applyNumberFormat="1" applyFont="1" applyFill="1" applyBorder="1"/>
    <xf numFmtId="49" fontId="39" fillId="12" borderId="0" xfId="0" applyNumberFormat="1" applyFont="1" applyFill="1"/>
    <xf numFmtId="3" fontId="52" fillId="12" borderId="0" xfId="0" applyNumberFormat="1" applyFont="1" applyFill="1"/>
    <xf numFmtId="3" fontId="39" fillId="12" borderId="0" xfId="0" applyNumberFormat="1" applyFont="1" applyFill="1"/>
    <xf numFmtId="38" fontId="39" fillId="12" borderId="0" xfId="0" applyNumberFormat="1" applyFont="1" applyFill="1"/>
    <xf numFmtId="38" fontId="61" fillId="0" borderId="0" xfId="5" applyNumberFormat="1" applyFont="1"/>
    <xf numFmtId="164" fontId="4" fillId="0" borderId="45" xfId="0" applyFont="1" applyBorder="1"/>
    <xf numFmtId="164" fontId="23" fillId="0" borderId="0" xfId="0" applyFont="1" applyAlignment="1">
      <alignment horizontal="right"/>
    </xf>
    <xf numFmtId="164" fontId="23" fillId="0" borderId="0" xfId="0" applyFont="1"/>
    <xf numFmtId="164" fontId="0" fillId="0" borderId="0" xfId="0" applyFill="1" applyBorder="1"/>
    <xf numFmtId="6" fontId="0" fillId="0" borderId="0" xfId="3" applyNumberFormat="1" applyFont="1" applyFill="1" applyBorder="1"/>
    <xf numFmtId="6" fontId="4" fillId="0" borderId="0" xfId="3" applyNumberFormat="1" applyFont="1" applyBorder="1"/>
    <xf numFmtId="6" fontId="0" fillId="0" borderId="0" xfId="3" applyNumberFormat="1" applyFont="1" applyAlignment="1">
      <alignment horizontal="center" wrapText="1"/>
    </xf>
    <xf numFmtId="170" fontId="3" fillId="0" borderId="0" xfId="5" applyNumberFormat="1" applyBorder="1" applyAlignment="1">
      <alignment horizontal="center"/>
    </xf>
    <xf numFmtId="164" fontId="62" fillId="0" borderId="0" xfId="0" applyFont="1"/>
    <xf numFmtId="4" fontId="62" fillId="0" borderId="0" xfId="0" applyNumberFormat="1" applyFont="1"/>
    <xf numFmtId="49" fontId="62" fillId="0" borderId="0" xfId="0" applyNumberFormat="1" applyFont="1"/>
    <xf numFmtId="8" fontId="3" fillId="0" borderId="40" xfId="3" applyFont="1" applyBorder="1"/>
    <xf numFmtId="8" fontId="3" fillId="0" borderId="0" xfId="3" applyFont="1"/>
    <xf numFmtId="164" fontId="56" fillId="0" borderId="5" xfId="0" applyFont="1" applyBorder="1" applyAlignment="1">
      <alignment horizontal="center"/>
    </xf>
    <xf numFmtId="164" fontId="0" fillId="0" borderId="5" xfId="0" applyBorder="1" applyAlignment="1">
      <alignment horizontal="center"/>
    </xf>
    <xf numFmtId="171" fontId="0" fillId="0" borderId="0" xfId="0" applyNumberFormat="1" applyBorder="1"/>
    <xf numFmtId="17" fontId="3" fillId="0" borderId="0" xfId="5" applyNumberFormat="1" applyBorder="1"/>
    <xf numFmtId="38" fontId="4" fillId="0" borderId="0" xfId="1" applyNumberFormat="1" applyFont="1" applyBorder="1"/>
    <xf numFmtId="38" fontId="4" fillId="0" borderId="0" xfId="2" applyFont="1" applyBorder="1"/>
    <xf numFmtId="38" fontId="0" fillId="0" borderId="0" xfId="1" applyNumberFormat="1" applyFont="1" applyBorder="1"/>
    <xf numFmtId="168" fontId="3" fillId="0" borderId="0" xfId="6" applyNumberFormat="1" applyBorder="1"/>
    <xf numFmtId="9" fontId="3" fillId="0" borderId="0" xfId="6" applyBorder="1"/>
    <xf numFmtId="168" fontId="3" fillId="0" borderId="0" xfId="6" applyNumberFormat="1" applyBorder="1" applyAlignment="1">
      <alignment horizontal="left"/>
    </xf>
    <xf numFmtId="38" fontId="3" fillId="0" borderId="17" xfId="5" applyNumberFormat="1" applyFont="1" applyBorder="1"/>
    <xf numFmtId="177" fontId="0" fillId="0" borderId="0" xfId="0" applyNumberFormat="1"/>
    <xf numFmtId="177" fontId="0" fillId="0" borderId="17" xfId="0" applyNumberFormat="1" applyBorder="1"/>
    <xf numFmtId="177" fontId="0" fillId="0" borderId="53" xfId="0" applyNumberFormat="1" applyBorder="1"/>
    <xf numFmtId="177" fontId="0" fillId="0" borderId="0" xfId="0" applyNumberFormat="1" applyBorder="1"/>
    <xf numFmtId="177" fontId="0" fillId="0" borderId="0" xfId="1" applyNumberFormat="1" applyFont="1"/>
    <xf numFmtId="174" fontId="0" fillId="0" borderId="5" xfId="0" applyNumberFormat="1" applyBorder="1" applyAlignment="1">
      <alignment horizontal="center"/>
    </xf>
    <xf numFmtId="164" fontId="63" fillId="0" borderId="0" xfId="0" applyFont="1" applyAlignment="1">
      <alignment horizontal="right"/>
    </xf>
    <xf numFmtId="164" fontId="63" fillId="0" borderId="0" xfId="0" applyFont="1"/>
    <xf numFmtId="177" fontId="63" fillId="0" borderId="0" xfId="0" applyNumberFormat="1" applyFont="1"/>
    <xf numFmtId="38" fontId="0" fillId="0" borderId="17" xfId="1" applyNumberFormat="1" applyFont="1" applyBorder="1" applyAlignment="1">
      <alignment horizontal="center"/>
    </xf>
    <xf numFmtId="9" fontId="0" fillId="0" borderId="17" xfId="6" applyFont="1" applyBorder="1"/>
    <xf numFmtId="176" fontId="0" fillId="0" borderId="0" xfId="0" applyNumberFormat="1" applyAlignment="1">
      <alignment horizontal="center"/>
    </xf>
    <xf numFmtId="41" fontId="64" fillId="0" borderId="0" xfId="0" applyNumberFormat="1" applyFont="1" applyBorder="1"/>
    <xf numFmtId="0" fontId="2" fillId="0" borderId="0" xfId="5" applyFont="1"/>
    <xf numFmtId="0" fontId="14" fillId="7" borderId="0" xfId="5" applyFont="1" applyFill="1" applyBorder="1" applyAlignment="1">
      <alignment wrapText="1"/>
    </xf>
    <xf numFmtId="6" fontId="4" fillId="0" borderId="0" xfId="3" applyNumberFormat="1" applyFont="1" applyFill="1" applyBorder="1"/>
    <xf numFmtId="164" fontId="1" fillId="0" borderId="5" xfId="0" applyFont="1" applyBorder="1"/>
    <xf numFmtId="38" fontId="3" fillId="0" borderId="59" xfId="2" applyFont="1" applyFill="1" applyBorder="1" applyAlignment="1"/>
    <xf numFmtId="164" fontId="1" fillId="0" borderId="0" xfId="0" applyFont="1" applyFill="1" applyBorder="1" applyAlignment="1">
      <alignment horizontal="center"/>
    </xf>
    <xf numFmtId="164" fontId="4" fillId="0" borderId="0" xfId="0" applyFont="1" applyFill="1" applyBorder="1" applyAlignment="1">
      <alignment horizontal="center"/>
    </xf>
    <xf numFmtId="164" fontId="4" fillId="0" borderId="32" xfId="0" applyFont="1" applyBorder="1"/>
    <xf numFmtId="38" fontId="4" fillId="0" borderId="5" xfId="2" applyFont="1" applyFill="1" applyBorder="1" applyAlignment="1"/>
    <xf numFmtId="38" fontId="15" fillId="8" borderId="15" xfId="2" applyFont="1" applyFill="1" applyBorder="1" applyAlignment="1"/>
    <xf numFmtId="168" fontId="3" fillId="0" borderId="0" xfId="6" applyNumberFormat="1" applyFont="1" applyFill="1" applyBorder="1" applyAlignment="1">
      <alignment horizontal="center"/>
    </xf>
    <xf numFmtId="38" fontId="0" fillId="0" borderId="0" xfId="0" applyNumberFormat="1"/>
    <xf numFmtId="38" fontId="0" fillId="0" borderId="17" xfId="0" applyNumberFormat="1" applyBorder="1"/>
    <xf numFmtId="164" fontId="0" fillId="0" borderId="0" xfId="0" applyFill="1" applyBorder="1" applyAlignment="1">
      <alignment horizontal="center" wrapText="1"/>
    </xf>
    <xf numFmtId="9" fontId="4" fillId="0" borderId="0" xfId="6" applyFont="1"/>
    <xf numFmtId="17" fontId="0" fillId="0" borderId="5" xfId="0" applyNumberFormat="1" applyBorder="1"/>
    <xf numFmtId="6" fontId="4" fillId="0" borderId="5" xfId="3" applyNumberFormat="1" applyFont="1" applyBorder="1"/>
    <xf numFmtId="9" fontId="4" fillId="0" borderId="5" xfId="6" applyFont="1" applyBorder="1"/>
    <xf numFmtId="8" fontId="4" fillId="0" borderId="5" xfId="3" applyNumberFormat="1" applyFont="1" applyBorder="1"/>
    <xf numFmtId="38" fontId="4" fillId="0" borderId="5" xfId="1" applyNumberFormat="1" applyFont="1" applyBorder="1"/>
    <xf numFmtId="6" fontId="0" fillId="0" borderId="5" xfId="3" applyNumberFormat="1" applyFont="1" applyBorder="1" applyAlignment="1">
      <alignment horizontal="center"/>
    </xf>
    <xf numFmtId="38" fontId="4" fillId="0" borderId="60" xfId="5" applyNumberFormat="1" applyFont="1" applyBorder="1"/>
    <xf numFmtId="8" fontId="4" fillId="0" borderId="31" xfId="3" applyNumberFormat="1" applyFont="1" applyBorder="1" applyAlignment="1">
      <alignment horizontal="center"/>
    </xf>
    <xf numFmtId="6" fontId="33" fillId="10" borderId="0" xfId="3" applyNumberFormat="1" applyFont="1" applyFill="1" applyBorder="1"/>
    <xf numFmtId="6" fontId="33" fillId="10" borderId="0" xfId="3" applyNumberFormat="1" applyFont="1" applyFill="1" applyBorder="1" applyAlignment="1">
      <alignment horizontal="center"/>
    </xf>
    <xf numFmtId="9" fontId="33" fillId="10" borderId="0" xfId="6" applyFont="1" applyFill="1" applyBorder="1" applyAlignment="1">
      <alignment horizontal="center"/>
    </xf>
    <xf numFmtId="6" fontId="33" fillId="10" borderId="40" xfId="3" applyNumberFormat="1" applyFont="1" applyFill="1" applyBorder="1" applyAlignment="1">
      <alignment horizontal="center"/>
    </xf>
    <xf numFmtId="9" fontId="33" fillId="10" borderId="40" xfId="6" applyFont="1" applyFill="1" applyBorder="1" applyAlignment="1">
      <alignment horizontal="center"/>
    </xf>
    <xf numFmtId="17" fontId="3" fillId="0" borderId="17" xfId="5" applyNumberFormat="1" applyFont="1" applyBorder="1"/>
    <xf numFmtId="6" fontId="59" fillId="0" borderId="0" xfId="3" applyNumberFormat="1" applyFont="1"/>
    <xf numFmtId="6" fontId="0" fillId="17" borderId="0" xfId="3" applyNumberFormat="1" applyFont="1" applyFill="1"/>
    <xf numFmtId="6" fontId="0" fillId="17" borderId="47" xfId="3" applyNumberFormat="1" applyFont="1" applyFill="1" applyBorder="1"/>
    <xf numFmtId="164" fontId="65" fillId="0" borderId="0" xfId="0" applyFont="1" applyAlignment="1">
      <alignment horizontal="center" wrapText="1"/>
    </xf>
    <xf numFmtId="9" fontId="3" fillId="0" borderId="0" xfId="5" applyNumberFormat="1" applyFont="1" applyAlignment="1">
      <alignment wrapText="1"/>
    </xf>
    <xf numFmtId="38" fontId="3" fillId="0" borderId="0" xfId="2" applyFont="1"/>
    <xf numFmtId="164" fontId="0" fillId="0" borderId="0" xfId="0" applyBorder="1" applyAlignment="1">
      <alignment wrapText="1"/>
    </xf>
    <xf numFmtId="17" fontId="3" fillId="0" borderId="0" xfId="5" applyNumberFormat="1" applyFont="1" applyBorder="1"/>
    <xf numFmtId="38" fontId="3" fillId="0" borderId="0" xfId="5" applyNumberFormat="1" applyFont="1" applyBorder="1"/>
    <xf numFmtId="38" fontId="3" fillId="0" borderId="0" xfId="2" applyFont="1" applyAlignment="1">
      <alignment horizontal="center"/>
    </xf>
    <xf numFmtId="164" fontId="0" fillId="12" borderId="0" xfId="0" applyFill="1" applyAlignment="1">
      <alignment wrapText="1"/>
    </xf>
    <xf numFmtId="164" fontId="0" fillId="12" borderId="17" xfId="0" applyFill="1" applyBorder="1" applyAlignment="1">
      <alignment horizontal="center" wrapText="1"/>
    </xf>
    <xf numFmtId="6" fontId="0" fillId="12" borderId="0" xfId="3" applyNumberFormat="1" applyFont="1" applyFill="1" applyAlignment="1">
      <alignment wrapText="1"/>
    </xf>
    <xf numFmtId="6" fontId="0" fillId="12" borderId="0" xfId="3" applyNumberFormat="1" applyFont="1" applyFill="1" applyBorder="1" applyAlignment="1">
      <alignment horizontal="center" wrapText="1"/>
    </xf>
    <xf numFmtId="6" fontId="0" fillId="12" borderId="17" xfId="3" applyNumberFormat="1" applyFont="1" applyFill="1" applyBorder="1"/>
    <xf numFmtId="17" fontId="0" fillId="12" borderId="0" xfId="0" applyNumberFormat="1" applyFill="1"/>
    <xf numFmtId="17" fontId="0" fillId="12" borderId="0" xfId="0" applyNumberFormat="1" applyFill="1" applyBorder="1"/>
    <xf numFmtId="17" fontId="0" fillId="12" borderId="17" xfId="0" applyNumberFormat="1" applyFill="1" applyBorder="1"/>
    <xf numFmtId="6" fontId="4" fillId="12" borderId="0" xfId="3" applyNumberFormat="1" applyFont="1" applyFill="1"/>
    <xf numFmtId="164" fontId="0" fillId="12" borderId="5" xfId="0" applyFill="1" applyBorder="1"/>
    <xf numFmtId="6" fontId="4" fillId="12" borderId="5" xfId="3" applyNumberFormat="1" applyFont="1" applyFill="1" applyBorder="1"/>
    <xf numFmtId="172" fontId="3" fillId="12" borderId="0" xfId="3" applyNumberFormat="1" applyFill="1"/>
    <xf numFmtId="8" fontId="4" fillId="0" borderId="0" xfId="3" applyFont="1"/>
    <xf numFmtId="164" fontId="0" fillId="12" borderId="0" xfId="0" applyFill="1" applyBorder="1"/>
    <xf numFmtId="17" fontId="0" fillId="0" borderId="61" xfId="0" applyNumberFormat="1" applyBorder="1"/>
    <xf numFmtId="6" fontId="0" fillId="0" borderId="61" xfId="3" applyNumberFormat="1" applyFont="1" applyBorder="1"/>
    <xf numFmtId="6" fontId="0" fillId="0" borderId="61" xfId="3" applyNumberFormat="1" applyFont="1" applyBorder="1" applyAlignment="1">
      <alignment horizontal="center"/>
    </xf>
    <xf numFmtId="164" fontId="0" fillId="0" borderId="61" xfId="0" applyBorder="1"/>
    <xf numFmtId="6" fontId="4" fillId="0" borderId="61" xfId="3" applyNumberFormat="1" applyFont="1" applyBorder="1"/>
    <xf numFmtId="9" fontId="4" fillId="0" borderId="61" xfId="6" applyFont="1" applyBorder="1"/>
    <xf numFmtId="8" fontId="4" fillId="0" borderId="61" xfId="3" applyNumberFormat="1" applyFont="1" applyBorder="1"/>
    <xf numFmtId="38" fontId="4" fillId="0" borderId="61" xfId="1" applyNumberFormat="1" applyFont="1" applyBorder="1"/>
    <xf numFmtId="164" fontId="0" fillId="12" borderId="61" xfId="0" applyFill="1" applyBorder="1"/>
    <xf numFmtId="6" fontId="4" fillId="12" borderId="61" xfId="3" applyNumberFormat="1" applyFont="1" applyFill="1" applyBorder="1"/>
    <xf numFmtId="164" fontId="0" fillId="0" borderId="61" xfId="0" applyBorder="1" applyAlignment="1">
      <alignment horizontal="center"/>
    </xf>
    <xf numFmtId="17" fontId="0" fillId="12" borderId="5" xfId="0" applyNumberFormat="1" applyFill="1" applyBorder="1"/>
    <xf numFmtId="6" fontId="0" fillId="12" borderId="5" xfId="3" applyNumberFormat="1" applyFont="1" applyFill="1" applyBorder="1"/>
    <xf numFmtId="9" fontId="4" fillId="12" borderId="5" xfId="6" applyFont="1" applyFill="1" applyBorder="1"/>
    <xf numFmtId="8" fontId="4" fillId="12" borderId="5" xfId="3" applyNumberFormat="1" applyFont="1" applyFill="1" applyBorder="1"/>
    <xf numFmtId="38" fontId="4" fillId="12" borderId="5" xfId="1" applyNumberFormat="1" applyFont="1" applyFill="1" applyBorder="1"/>
    <xf numFmtId="164" fontId="0" fillId="12" borderId="5" xfId="0" applyFill="1" applyBorder="1" applyAlignment="1">
      <alignment horizontal="center"/>
    </xf>
    <xf numFmtId="9" fontId="4" fillId="12" borderId="0" xfId="6" applyFont="1" applyFill="1"/>
    <xf numFmtId="8" fontId="4" fillId="12" borderId="0" xfId="3" applyNumberFormat="1" applyFont="1" applyFill="1"/>
    <xf numFmtId="38" fontId="4" fillId="12" borderId="0" xfId="1" applyNumberFormat="1" applyFont="1" applyFill="1"/>
    <xf numFmtId="164" fontId="0" fillId="12" borderId="0" xfId="0" applyFill="1" applyAlignment="1">
      <alignment horizontal="center"/>
    </xf>
    <xf numFmtId="6" fontId="0" fillId="12" borderId="0" xfId="3" applyNumberFormat="1" applyFont="1" applyFill="1" applyAlignment="1">
      <alignment horizontal="center"/>
    </xf>
    <xf numFmtId="38" fontId="0" fillId="12" borderId="0" xfId="1" applyNumberFormat="1" applyFont="1" applyFill="1" applyAlignment="1">
      <alignment horizontal="center"/>
    </xf>
    <xf numFmtId="164" fontId="0" fillId="12" borderId="62" xfId="0" applyFill="1" applyBorder="1"/>
    <xf numFmtId="6" fontId="4" fillId="12" borderId="40" xfId="3" quotePrefix="1" applyNumberFormat="1" applyFont="1" applyFill="1" applyBorder="1"/>
    <xf numFmtId="17" fontId="0" fillId="18" borderId="63" xfId="0" applyNumberFormat="1" applyFill="1" applyBorder="1"/>
    <xf numFmtId="164" fontId="0" fillId="18" borderId="63" xfId="0" applyFill="1" applyBorder="1"/>
    <xf numFmtId="6" fontId="4" fillId="18" borderId="63" xfId="3" applyNumberFormat="1" applyFont="1" applyFill="1" applyBorder="1"/>
    <xf numFmtId="9" fontId="4" fillId="18" borderId="63" xfId="6" applyFont="1" applyFill="1" applyBorder="1"/>
    <xf numFmtId="6" fontId="0" fillId="18" borderId="63" xfId="3" applyNumberFormat="1" applyFont="1" applyFill="1" applyBorder="1"/>
    <xf numFmtId="8" fontId="4" fillId="18" borderId="63" xfId="3" applyNumberFormat="1" applyFont="1" applyFill="1" applyBorder="1"/>
    <xf numFmtId="38" fontId="4" fillId="18" borderId="63" xfId="1" applyNumberFormat="1" applyFont="1" applyFill="1" applyBorder="1"/>
    <xf numFmtId="17" fontId="0" fillId="18" borderId="0" xfId="0" applyNumberFormat="1" applyFill="1"/>
    <xf numFmtId="164" fontId="0" fillId="18" borderId="0" xfId="0" applyFill="1"/>
    <xf numFmtId="6" fontId="4" fillId="18" borderId="0" xfId="3" applyNumberFormat="1" applyFont="1" applyFill="1"/>
    <xf numFmtId="9" fontId="4" fillId="18" borderId="0" xfId="6" applyFont="1" applyFill="1"/>
    <xf numFmtId="6" fontId="0" fillId="18" borderId="0" xfId="3" applyNumberFormat="1" applyFont="1" applyFill="1"/>
    <xf numFmtId="8" fontId="4" fillId="18" borderId="0" xfId="3" applyNumberFormat="1" applyFont="1" applyFill="1"/>
    <xf numFmtId="38" fontId="4" fillId="18" borderId="0" xfId="1" applyNumberFormat="1" applyFont="1" applyFill="1"/>
    <xf numFmtId="17" fontId="0" fillId="18" borderId="5" xfId="0" applyNumberFormat="1" applyFill="1" applyBorder="1"/>
    <xf numFmtId="164" fontId="0" fillId="18" borderId="5" xfId="0" applyFill="1" applyBorder="1"/>
    <xf numFmtId="6" fontId="4" fillId="18" borderId="5" xfId="3" applyNumberFormat="1" applyFont="1" applyFill="1" applyBorder="1"/>
    <xf numFmtId="9" fontId="4" fillId="18" borderId="5" xfId="6" applyFont="1" applyFill="1" applyBorder="1"/>
    <xf numFmtId="6" fontId="0" fillId="18" borderId="5" xfId="3" applyNumberFormat="1" applyFont="1" applyFill="1" applyBorder="1"/>
    <xf numFmtId="8" fontId="4" fillId="18" borderId="5" xfId="3" applyNumberFormat="1" applyFont="1" applyFill="1" applyBorder="1"/>
    <xf numFmtId="38" fontId="4" fillId="18" borderId="5" xfId="1" applyNumberFormat="1" applyFont="1" applyFill="1" applyBorder="1"/>
    <xf numFmtId="6" fontId="0" fillId="18" borderId="0" xfId="3" applyNumberFormat="1" applyFont="1" applyFill="1" applyAlignment="1">
      <alignment horizontal="center"/>
    </xf>
    <xf numFmtId="164" fontId="0" fillId="18" borderId="0" xfId="0" applyFill="1" applyAlignment="1">
      <alignment horizontal="center"/>
    </xf>
    <xf numFmtId="38" fontId="0" fillId="18" borderId="0" xfId="1" applyNumberFormat="1" applyFont="1" applyFill="1" applyAlignment="1">
      <alignment horizontal="center"/>
    </xf>
    <xf numFmtId="6" fontId="0" fillId="18" borderId="5" xfId="3" applyNumberFormat="1" applyFont="1" applyFill="1" applyBorder="1" applyAlignment="1">
      <alignment horizontal="center"/>
    </xf>
    <xf numFmtId="164" fontId="0" fillId="18" borderId="5" xfId="0" applyFill="1" applyBorder="1" applyAlignment="1">
      <alignment horizontal="center"/>
    </xf>
    <xf numFmtId="9" fontId="4" fillId="0" borderId="17" xfId="6" applyFont="1" applyBorder="1"/>
    <xf numFmtId="38" fontId="4" fillId="0" borderId="64" xfId="5" applyNumberFormat="1" applyFont="1" applyBorder="1"/>
    <xf numFmtId="38" fontId="3" fillId="0" borderId="64" xfId="5" applyNumberFormat="1" applyBorder="1"/>
    <xf numFmtId="38" fontId="3" fillId="0" borderId="65" xfId="2" applyFont="1" applyFill="1" applyBorder="1" applyAlignment="1"/>
    <xf numFmtId="165" fontId="14" fillId="7" borderId="59" xfId="6" applyNumberFormat="1" applyFont="1" applyFill="1" applyBorder="1" applyAlignment="1">
      <alignment horizontal="center"/>
    </xf>
    <xf numFmtId="6" fontId="3" fillId="12" borderId="0" xfId="3" applyNumberFormat="1" applyFill="1"/>
    <xf numFmtId="3" fontId="3" fillId="0" borderId="0" xfId="5" applyNumberFormat="1"/>
    <xf numFmtId="38" fontId="3" fillId="0" borderId="17" xfId="1" applyNumberFormat="1" applyBorder="1"/>
    <xf numFmtId="0" fontId="12" fillId="6" borderId="0" xfId="5" applyFont="1" applyFill="1" applyBorder="1" applyAlignment="1">
      <alignment horizontal="center"/>
    </xf>
    <xf numFmtId="164" fontId="1" fillId="0" borderId="0" xfId="0" applyFont="1" applyAlignment="1">
      <alignment horizontal="left"/>
    </xf>
    <xf numFmtId="164" fontId="1" fillId="0" borderId="0" xfId="0" applyFont="1" applyAlignment="1">
      <alignment horizontal="center"/>
    </xf>
    <xf numFmtId="172" fontId="1" fillId="0" borderId="5" xfId="3" applyNumberFormat="1" applyFont="1" applyBorder="1"/>
    <xf numFmtId="172" fontId="3" fillId="0" borderId="0" xfId="3" applyNumberFormat="1" applyFont="1" applyBorder="1"/>
    <xf numFmtId="164" fontId="66" fillId="0" borderId="0" xfId="0" applyFont="1" applyAlignment="1">
      <alignment horizontal="center"/>
    </xf>
    <xf numFmtId="164" fontId="0" fillId="18" borderId="30" xfId="0" applyFill="1" applyBorder="1"/>
    <xf numFmtId="172" fontId="3" fillId="18" borderId="31" xfId="3" applyNumberFormat="1" applyFill="1" applyBorder="1"/>
    <xf numFmtId="164" fontId="0" fillId="18" borderId="32" xfId="0" applyFill="1" applyBorder="1"/>
    <xf numFmtId="164" fontId="1" fillId="0" borderId="44" xfId="0" applyFont="1" applyBorder="1"/>
    <xf numFmtId="172" fontId="1" fillId="0" borderId="45" xfId="3" applyNumberFormat="1" applyFont="1" applyBorder="1"/>
    <xf numFmtId="172" fontId="1" fillId="0" borderId="43" xfId="3" applyNumberFormat="1" applyFont="1" applyBorder="1"/>
    <xf numFmtId="10" fontId="0" fillId="0" borderId="45" xfId="0" applyNumberFormat="1" applyBorder="1"/>
    <xf numFmtId="164" fontId="66" fillId="0" borderId="44" xfId="0" applyFont="1" applyBorder="1"/>
    <xf numFmtId="172" fontId="66" fillId="0" borderId="0" xfId="3" applyNumberFormat="1" applyFont="1" applyBorder="1"/>
    <xf numFmtId="10" fontId="66" fillId="0" borderId="45" xfId="0" applyNumberFormat="1" applyFont="1" applyBorder="1"/>
    <xf numFmtId="164" fontId="1" fillId="0" borderId="44" xfId="0" applyFont="1" applyBorder="1" applyAlignment="1">
      <alignment horizontal="left"/>
    </xf>
    <xf numFmtId="42" fontId="3" fillId="0" borderId="0" xfId="3" applyNumberFormat="1" applyBorder="1"/>
    <xf numFmtId="164" fontId="1" fillId="0" borderId="42" xfId="0" applyFont="1" applyBorder="1" applyAlignment="1">
      <alignment horizontal="left"/>
    </xf>
    <xf numFmtId="42" fontId="3" fillId="0" borderId="5" xfId="3" applyNumberFormat="1" applyBorder="1"/>
    <xf numFmtId="10" fontId="0" fillId="0" borderId="43" xfId="0" applyNumberFormat="1" applyBorder="1"/>
    <xf numFmtId="49" fontId="67" fillId="18" borderId="44" xfId="0" applyNumberFormat="1" applyFont="1" applyFill="1" applyBorder="1" applyAlignment="1">
      <alignment horizontal="left"/>
    </xf>
    <xf numFmtId="172" fontId="68" fillId="18" borderId="0" xfId="3" applyNumberFormat="1" applyFont="1" applyFill="1" applyBorder="1"/>
    <xf numFmtId="164" fontId="68" fillId="18" borderId="45" xfId="0" applyFont="1" applyFill="1" applyBorder="1"/>
    <xf numFmtId="172" fontId="1" fillId="18" borderId="0" xfId="3" applyNumberFormat="1" applyFont="1" applyFill="1" applyBorder="1"/>
    <xf numFmtId="38" fontId="3" fillId="0" borderId="0" xfId="2" applyFont="1" applyFill="1" applyBorder="1" applyAlignment="1">
      <alignment horizontal="left"/>
    </xf>
    <xf numFmtId="3" fontId="3" fillId="0" borderId="0" xfId="5" applyNumberFormat="1" applyAlignment="1">
      <alignment horizontal="left"/>
    </xf>
    <xf numFmtId="0" fontId="0" fillId="0" borderId="0" xfId="0" applyNumberFormat="1"/>
    <xf numFmtId="38" fontId="3" fillId="0" borderId="17" xfId="1" applyNumberFormat="1" applyFont="1" applyBorder="1"/>
    <xf numFmtId="38" fontId="3" fillId="0" borderId="17" xfId="2" applyFont="1" applyBorder="1" applyAlignment="1">
      <alignment horizontal="center"/>
    </xf>
    <xf numFmtId="0" fontId="0" fillId="0" borderId="0" xfId="0" applyNumberFormat="1" applyAlignment="1">
      <alignment wrapText="1"/>
    </xf>
    <xf numFmtId="40" fontId="3" fillId="0" borderId="0" xfId="2" applyNumberFormat="1" applyAlignment="1">
      <alignment horizontal="left" indent="1"/>
    </xf>
    <xf numFmtId="0" fontId="0" fillId="0" borderId="0" xfId="0" applyNumberFormat="1" applyAlignment="1">
      <alignment horizontal="center" wrapText="1"/>
    </xf>
    <xf numFmtId="10" fontId="0" fillId="0" borderId="0" xfId="0" applyNumberFormat="1"/>
    <xf numFmtId="10" fontId="2" fillId="0" borderId="0" xfId="0" applyNumberFormat="1" applyFont="1"/>
    <xf numFmtId="42" fontId="0" fillId="0" borderId="0" xfId="3" applyNumberFormat="1" applyFont="1"/>
    <xf numFmtId="3" fontId="3" fillId="0" borderId="17" xfId="5" applyNumberFormat="1" applyBorder="1"/>
    <xf numFmtId="168" fontId="3" fillId="0" borderId="36" xfId="6" applyNumberFormat="1" applyFont="1" applyFill="1" applyBorder="1" applyAlignment="1">
      <alignment horizontal="center"/>
    </xf>
    <xf numFmtId="164" fontId="66" fillId="0" borderId="0" xfId="0" applyFont="1"/>
    <xf numFmtId="172" fontId="66" fillId="0" borderId="0" xfId="3" applyNumberFormat="1" applyFont="1"/>
    <xf numFmtId="10" fontId="66" fillId="0" borderId="0" xfId="3" applyNumberFormat="1" applyFont="1"/>
    <xf numFmtId="10" fontId="66" fillId="0" borderId="0" xfId="0" applyNumberFormat="1" applyFont="1"/>
    <xf numFmtId="42" fontId="3" fillId="0" borderId="0" xfId="3" applyNumberFormat="1"/>
    <xf numFmtId="38" fontId="5" fillId="0" borderId="2" xfId="1" applyNumberFormat="1" applyFont="1" applyBorder="1" applyAlignment="1">
      <alignment horizontal="center"/>
    </xf>
    <xf numFmtId="38" fontId="5" fillId="0" borderId="3" xfId="1" applyNumberFormat="1" applyFont="1" applyBorder="1" applyAlignment="1">
      <alignment horizontal="center"/>
    </xf>
    <xf numFmtId="38" fontId="5" fillId="0" borderId="4" xfId="1" applyNumberFormat="1" applyFont="1" applyBorder="1" applyAlignment="1">
      <alignment horizontal="center"/>
    </xf>
    <xf numFmtId="164" fontId="31" fillId="0" borderId="30" xfId="0" applyFont="1" applyBorder="1" applyAlignment="1">
      <alignment horizontal="center"/>
    </xf>
    <xf numFmtId="164" fontId="31" fillId="0" borderId="31" xfId="0" applyFont="1" applyBorder="1" applyAlignment="1">
      <alignment horizontal="center"/>
    </xf>
    <xf numFmtId="164" fontId="31" fillId="0" borderId="32" xfId="0" applyFont="1" applyBorder="1" applyAlignment="1">
      <alignment horizontal="center"/>
    </xf>
    <xf numFmtId="0" fontId="10" fillId="3" borderId="0" xfId="5" applyFont="1" applyFill="1" applyBorder="1" applyAlignment="1">
      <alignment horizontal="center"/>
    </xf>
    <xf numFmtId="0" fontId="10" fillId="3" borderId="25" xfId="5" applyFont="1" applyFill="1" applyBorder="1" applyAlignment="1">
      <alignment horizontal="center"/>
    </xf>
    <xf numFmtId="0" fontId="12" fillId="6" borderId="0" xfId="5" applyFont="1" applyFill="1" applyBorder="1" applyAlignment="1">
      <alignment horizontal="center"/>
    </xf>
    <xf numFmtId="6" fontId="0" fillId="0" borderId="28" xfId="3" applyNumberFormat="1" applyFont="1" applyBorder="1" applyAlignment="1">
      <alignment horizontal="center"/>
    </xf>
    <xf numFmtId="6" fontId="0" fillId="0" borderId="29" xfId="3" applyNumberFormat="1" applyFont="1" applyBorder="1" applyAlignment="1">
      <alignment horizontal="center"/>
    </xf>
    <xf numFmtId="6" fontId="0" fillId="0" borderId="66" xfId="3" applyNumberFormat="1" applyFont="1" applyBorder="1" applyAlignment="1">
      <alignment horizontal="center"/>
    </xf>
    <xf numFmtId="164" fontId="1" fillId="0" borderId="28" xfId="0" applyFont="1" applyBorder="1" applyAlignment="1">
      <alignment horizontal="center"/>
    </xf>
    <xf numFmtId="164" fontId="1" fillId="0" borderId="66" xfId="0" applyFont="1" applyBorder="1" applyAlignment="1">
      <alignment horizontal="center"/>
    </xf>
    <xf numFmtId="6" fontId="0" fillId="0" borderId="30" xfId="3" applyNumberFormat="1" applyFont="1" applyBorder="1" applyAlignment="1">
      <alignment horizontal="center"/>
    </xf>
    <xf numFmtId="6" fontId="0" fillId="0" borderId="32" xfId="3" applyNumberFormat="1" applyFont="1" applyBorder="1" applyAlignment="1">
      <alignment horizontal="center"/>
    </xf>
    <xf numFmtId="3" fontId="48" fillId="0" borderId="0" xfId="0" applyNumberFormat="1" applyFont="1" applyAlignment="1">
      <alignment horizontal="center" vertical="center"/>
    </xf>
    <xf numFmtId="164" fontId="0" fillId="0" borderId="0" xfId="0" applyAlignment="1">
      <alignment horizontal="left" wrapText="1"/>
    </xf>
    <xf numFmtId="17" fontId="0" fillId="0" borderId="28" xfId="3" applyNumberFormat="1" applyFont="1" applyBorder="1" applyAlignment="1">
      <alignment horizontal="center"/>
    </xf>
    <xf numFmtId="17" fontId="0" fillId="0" borderId="66" xfId="3" applyNumberFormat="1" applyFont="1" applyBorder="1" applyAlignment="1">
      <alignment horizontal="center"/>
    </xf>
    <xf numFmtId="4" fontId="62" fillId="0" borderId="0" xfId="0" applyNumberFormat="1" applyFont="1" applyAlignment="1">
      <alignment horizontal="center"/>
    </xf>
    <xf numFmtId="4" fontId="48" fillId="0" borderId="0" xfId="0" applyNumberFormat="1" applyFont="1" applyAlignment="1">
      <alignment horizontal="center" vertical="center"/>
    </xf>
  </cellXfs>
  <cellStyles count="12">
    <cellStyle name="Comma" xfId="1" builtinId="3"/>
    <cellStyle name="Comma [0]" xfId="2" builtinId="6"/>
    <cellStyle name="Currency" xfId="3" builtinId="4"/>
    <cellStyle name="Currency [0]" xfId="4" builtinId="7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Normal" xfId="0" builtinId="0"/>
    <cellStyle name="Normal_Sales &amp; Profit by Month " xfId="5"/>
    <cellStyle name="Percent" xfId="6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9.xml"/><Relationship Id="rId14" Type="http://schemas.openxmlformats.org/officeDocument/2006/relationships/chartsheet" Target="chartsheets/sheet10.xml"/><Relationship Id="rId15" Type="http://schemas.openxmlformats.org/officeDocument/2006/relationships/chartsheet" Target="chartsheets/sheet11.xml"/><Relationship Id="rId16" Type="http://schemas.openxmlformats.org/officeDocument/2006/relationships/chartsheet" Target="chartsheets/sheet12.xml"/><Relationship Id="rId17" Type="http://schemas.openxmlformats.org/officeDocument/2006/relationships/chartsheet" Target="chartsheets/sheet13.xml"/><Relationship Id="rId18" Type="http://schemas.openxmlformats.org/officeDocument/2006/relationships/chartsheet" Target="chartsheets/sheet14.xml"/><Relationship Id="rId19" Type="http://schemas.openxmlformats.org/officeDocument/2006/relationships/chartsheet" Target="chartsheets/sheet15.xml"/><Relationship Id="rId50" Type="http://schemas.openxmlformats.org/officeDocument/2006/relationships/chartsheet" Target="chartsheets/sheet27.xml"/><Relationship Id="rId51" Type="http://schemas.openxmlformats.org/officeDocument/2006/relationships/chartsheet" Target="chartsheets/sheet28.xml"/><Relationship Id="rId52" Type="http://schemas.openxmlformats.org/officeDocument/2006/relationships/theme" Target="theme/theme1.xml"/><Relationship Id="rId53" Type="http://schemas.openxmlformats.org/officeDocument/2006/relationships/styles" Target="styles.xml"/><Relationship Id="rId54" Type="http://schemas.openxmlformats.org/officeDocument/2006/relationships/sharedStrings" Target="sharedStrings.xml"/><Relationship Id="rId55" Type="http://schemas.openxmlformats.org/officeDocument/2006/relationships/calcChain" Target="calcChain.xml"/><Relationship Id="rId40" Type="http://schemas.openxmlformats.org/officeDocument/2006/relationships/worksheet" Target="worksheets/sheet14.xml"/><Relationship Id="rId41" Type="http://schemas.openxmlformats.org/officeDocument/2006/relationships/worksheet" Target="worksheets/sheet15.xml"/><Relationship Id="rId42" Type="http://schemas.openxmlformats.org/officeDocument/2006/relationships/worksheet" Target="worksheets/sheet16.xml"/><Relationship Id="rId43" Type="http://schemas.openxmlformats.org/officeDocument/2006/relationships/worksheet" Target="worksheets/sheet17.xml"/><Relationship Id="rId44" Type="http://schemas.openxmlformats.org/officeDocument/2006/relationships/worksheet" Target="worksheets/sheet18.xml"/><Relationship Id="rId45" Type="http://schemas.openxmlformats.org/officeDocument/2006/relationships/worksheet" Target="worksheets/sheet19.xml"/><Relationship Id="rId46" Type="http://schemas.openxmlformats.org/officeDocument/2006/relationships/worksheet" Target="worksheets/sheet20.xml"/><Relationship Id="rId47" Type="http://schemas.openxmlformats.org/officeDocument/2006/relationships/worksheet" Target="worksheets/sheet21.xml"/><Relationship Id="rId48" Type="http://schemas.openxmlformats.org/officeDocument/2006/relationships/worksheet" Target="worksheets/sheet22.xml"/><Relationship Id="rId49" Type="http://schemas.openxmlformats.org/officeDocument/2006/relationships/worksheet" Target="worksheets/sheet23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chartsheet" Target="chartsheets/sheet1.xml"/><Relationship Id="rId4" Type="http://schemas.openxmlformats.org/officeDocument/2006/relationships/worksheet" Target="worksheets/sheet3.xml"/><Relationship Id="rId5" Type="http://schemas.openxmlformats.org/officeDocument/2006/relationships/chartsheet" Target="chartsheets/sheet2.xml"/><Relationship Id="rId6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8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30" Type="http://schemas.openxmlformats.org/officeDocument/2006/relationships/chartsheet" Target="chartsheets/sheet22.xml"/><Relationship Id="rId31" Type="http://schemas.openxmlformats.org/officeDocument/2006/relationships/chartsheet" Target="chartsheets/sheet23.xml"/><Relationship Id="rId32" Type="http://schemas.openxmlformats.org/officeDocument/2006/relationships/chartsheet" Target="chartsheets/sheet24.xml"/><Relationship Id="rId33" Type="http://schemas.openxmlformats.org/officeDocument/2006/relationships/chartsheet" Target="chartsheets/sheet25.xml"/><Relationship Id="rId34" Type="http://schemas.openxmlformats.org/officeDocument/2006/relationships/worksheet" Target="worksheets/sheet9.xml"/><Relationship Id="rId35" Type="http://schemas.openxmlformats.org/officeDocument/2006/relationships/chartsheet" Target="chartsheets/sheet26.xml"/><Relationship Id="rId36" Type="http://schemas.openxmlformats.org/officeDocument/2006/relationships/worksheet" Target="worksheets/sheet10.xml"/><Relationship Id="rId37" Type="http://schemas.openxmlformats.org/officeDocument/2006/relationships/worksheet" Target="worksheets/sheet11.xml"/><Relationship Id="rId38" Type="http://schemas.openxmlformats.org/officeDocument/2006/relationships/worksheet" Target="worksheets/sheet12.xml"/><Relationship Id="rId39" Type="http://schemas.openxmlformats.org/officeDocument/2006/relationships/worksheet" Target="worksheets/sheet13.xml"/><Relationship Id="rId20" Type="http://schemas.openxmlformats.org/officeDocument/2006/relationships/worksheet" Target="worksheets/sheet5.xml"/><Relationship Id="rId21" Type="http://schemas.openxmlformats.org/officeDocument/2006/relationships/chartsheet" Target="chartsheets/sheet16.xml"/><Relationship Id="rId22" Type="http://schemas.openxmlformats.org/officeDocument/2006/relationships/worksheet" Target="worksheets/sheet6.xml"/><Relationship Id="rId23" Type="http://schemas.openxmlformats.org/officeDocument/2006/relationships/worksheet" Target="worksheets/sheet7.xml"/><Relationship Id="rId24" Type="http://schemas.openxmlformats.org/officeDocument/2006/relationships/chartsheet" Target="chartsheets/sheet17.xml"/><Relationship Id="rId25" Type="http://schemas.openxmlformats.org/officeDocument/2006/relationships/chartsheet" Target="chartsheets/sheet18.xml"/><Relationship Id="rId26" Type="http://schemas.openxmlformats.org/officeDocument/2006/relationships/chartsheet" Target="chartsheets/sheet19.xml"/><Relationship Id="rId27" Type="http://schemas.openxmlformats.org/officeDocument/2006/relationships/chartsheet" Target="chartsheets/sheet20.xml"/><Relationship Id="rId28" Type="http://schemas.openxmlformats.org/officeDocument/2006/relationships/worksheet" Target="worksheets/sheet8.xml"/><Relationship Id="rId29" Type="http://schemas.openxmlformats.org/officeDocument/2006/relationships/chartsheet" Target="chartsheets/sheet21.xml"/><Relationship Id="rId10" Type="http://schemas.openxmlformats.org/officeDocument/2006/relationships/chartsheet" Target="chartsheets/sheet6.xml"/><Relationship Id="rId11" Type="http://schemas.openxmlformats.org/officeDocument/2006/relationships/chartsheet" Target="chartsheets/sheet7.xml"/><Relationship Id="rId12" Type="http://schemas.openxmlformats.org/officeDocument/2006/relationships/chartsheet" Target="chartsheets/sheet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chartUserShapes" Target="../drawings/drawing3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Frequency by Month Profit Range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S&amp;P'!$Q$3:$Q$16</c:f>
              <c:numCache>
                <c:formatCode>#,##0_);[Red]\(#,##0\)</c:formatCode>
                <c:ptCount val="14"/>
                <c:pt idx="1">
                  <c:v>-222153.8088072828</c:v>
                </c:pt>
                <c:pt idx="2">
                  <c:v>-222153.8088072828</c:v>
                </c:pt>
                <c:pt idx="3">
                  <c:v>-222153.8088072828</c:v>
                </c:pt>
                <c:pt idx="4">
                  <c:v>-222153.8088072828</c:v>
                </c:pt>
                <c:pt idx="5">
                  <c:v>-222153.8088072828</c:v>
                </c:pt>
                <c:pt idx="6">
                  <c:v>-222153.8088072828</c:v>
                </c:pt>
                <c:pt idx="7">
                  <c:v>-222153.8088072828</c:v>
                </c:pt>
                <c:pt idx="8">
                  <c:v>-222153.8088072828</c:v>
                </c:pt>
                <c:pt idx="9">
                  <c:v>-222153.8088072828</c:v>
                </c:pt>
                <c:pt idx="10">
                  <c:v>-222153.8088072828</c:v>
                </c:pt>
                <c:pt idx="11">
                  <c:v>-222153.8088072828</c:v>
                </c:pt>
                <c:pt idx="12">
                  <c:v>-222153.8088072828</c:v>
                </c:pt>
                <c:pt idx="13">
                  <c:v>-222153.8088072828</c:v>
                </c:pt>
              </c:numCache>
            </c:numRef>
          </c:cat>
          <c:val>
            <c:numRef>
              <c:f>'Month S&amp;P'!$R$3:$R$16</c:f>
              <c:numCache>
                <c:formatCode>#,##0_);[Red]\(#,##0\)</c:formatCode>
                <c:ptCount val="14"/>
                <c:pt idx="0">
                  <c:v>346277.0</c:v>
                </c:pt>
                <c:pt idx="1">
                  <c:v>403848.0</c:v>
                </c:pt>
                <c:pt idx="2">
                  <c:v>338381.0</c:v>
                </c:pt>
                <c:pt idx="3">
                  <c:v>355119.0</c:v>
                </c:pt>
                <c:pt idx="4">
                  <c:v>280552.0</c:v>
                </c:pt>
                <c:pt idx="5">
                  <c:v>551008.0</c:v>
                </c:pt>
                <c:pt idx="6">
                  <c:v>668978.0</c:v>
                </c:pt>
                <c:pt idx="7">
                  <c:v>641074.0</c:v>
                </c:pt>
                <c:pt idx="8">
                  <c:v>608257.0</c:v>
                </c:pt>
                <c:pt idx="9">
                  <c:v>630745.0</c:v>
                </c:pt>
                <c:pt idx="10">
                  <c:v>445415.0</c:v>
                </c:pt>
                <c:pt idx="11">
                  <c:v>577807.0</c:v>
                </c:pt>
                <c:pt idx="12">
                  <c:v>429371.0</c:v>
                </c:pt>
                <c:pt idx="13">
                  <c:v>405501.72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101900808"/>
        <c:axId val="2102312680"/>
      </c:barChart>
      <c:catAx>
        <c:axId val="2101900808"/>
        <c:scaling>
          <c:orientation val="minMax"/>
        </c:scaling>
        <c:delete val="0"/>
        <c:axPos val="b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31268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2102312680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1900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ACCUMULATED PROFIT YTD</a:t>
            </a:r>
          </a:p>
        </c:rich>
      </c:tx>
      <c:layout>
        <c:manualLayout>
          <c:xMode val="edge"/>
          <c:yMode val="edge"/>
          <c:x val="0.395939270301131"/>
          <c:y val="0.028824864910512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137106557363"/>
          <c:y val="0.0266075676097037"/>
          <c:w val="0.862944563476824"/>
          <c:h val="0.884701623022648"/>
        </c:manualLayout>
      </c:layout>
      <c:lineChart>
        <c:grouping val="standard"/>
        <c:varyColors val="0"/>
        <c:ser>
          <c:idx val="0"/>
          <c:order val="0"/>
          <c:tx>
            <c:v>1988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S&amp;P'!$DM$3:$DM$14</c:f>
              <c:numCache>
                <c:formatCode>#,##0_);[Red]\(#,##0\)</c:formatCode>
                <c:ptCount val="12"/>
                <c:pt idx="0">
                  <c:v>14000.0</c:v>
                </c:pt>
                <c:pt idx="1">
                  <c:v>130098.0</c:v>
                </c:pt>
                <c:pt idx="2">
                  <c:v>135991.0</c:v>
                </c:pt>
                <c:pt idx="3">
                  <c:v>21949.0</c:v>
                </c:pt>
                <c:pt idx="4">
                  <c:v>45882.0</c:v>
                </c:pt>
                <c:pt idx="5">
                  <c:v>171574.0</c:v>
                </c:pt>
                <c:pt idx="6">
                  <c:v>416859.0</c:v>
                </c:pt>
                <c:pt idx="7">
                  <c:v>554082.0</c:v>
                </c:pt>
                <c:pt idx="8">
                  <c:v>762350.0</c:v>
                </c:pt>
                <c:pt idx="9">
                  <c:v>876766.0</c:v>
                </c:pt>
                <c:pt idx="10">
                  <c:v>873748.0</c:v>
                </c:pt>
                <c:pt idx="11">
                  <c:v>637802.0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 S&amp;P'!$DN$2</c:f>
              <c:strCache>
                <c:ptCount val="1"/>
                <c:pt idx="0">
                  <c:v>1989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S&amp;P'!$DN$3:$DN$14</c:f>
              <c:numCache>
                <c:formatCode>#,##0_);[Red]\(#,##0\)</c:formatCode>
                <c:ptCount val="12"/>
                <c:pt idx="0">
                  <c:v>23394.0</c:v>
                </c:pt>
                <c:pt idx="1">
                  <c:v>-71818.0</c:v>
                </c:pt>
                <c:pt idx="2">
                  <c:v>-126130.0</c:v>
                </c:pt>
                <c:pt idx="3">
                  <c:v>-234387.0</c:v>
                </c:pt>
                <c:pt idx="4">
                  <c:v>-81839.0</c:v>
                </c:pt>
                <c:pt idx="5">
                  <c:v>90010.0</c:v>
                </c:pt>
                <c:pt idx="6">
                  <c:v>165088.0</c:v>
                </c:pt>
                <c:pt idx="7">
                  <c:v>269358.0</c:v>
                </c:pt>
                <c:pt idx="8">
                  <c:v>446455.0</c:v>
                </c:pt>
                <c:pt idx="9">
                  <c:v>571188.0</c:v>
                </c:pt>
                <c:pt idx="10">
                  <c:v>669283.0</c:v>
                </c:pt>
                <c:pt idx="11">
                  <c:v>701977.0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 S&amp;P'!$DO$2</c:f>
              <c:strCache>
                <c:ptCount val="1"/>
                <c:pt idx="0">
                  <c:v>1990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S&amp;P'!$DO$3:$DO$14</c:f>
              <c:numCache>
                <c:formatCode>#,##0_);[Red]\(#,##0\)</c:formatCode>
                <c:ptCount val="12"/>
                <c:pt idx="0">
                  <c:v>97062.0</c:v>
                </c:pt>
                <c:pt idx="1">
                  <c:v>-35620.0</c:v>
                </c:pt>
                <c:pt idx="2">
                  <c:v>215858.0</c:v>
                </c:pt>
                <c:pt idx="3">
                  <c:v>253658.0</c:v>
                </c:pt>
                <c:pt idx="4">
                  <c:v>270161.0</c:v>
                </c:pt>
                <c:pt idx="5">
                  <c:v>405715.0</c:v>
                </c:pt>
                <c:pt idx="6">
                  <c:v>527676.0</c:v>
                </c:pt>
                <c:pt idx="7">
                  <c:v>669474.0</c:v>
                </c:pt>
                <c:pt idx="8">
                  <c:v>900780.0</c:v>
                </c:pt>
                <c:pt idx="9">
                  <c:v>863564.0</c:v>
                </c:pt>
                <c:pt idx="10">
                  <c:v>750677.0</c:v>
                </c:pt>
                <c:pt idx="11">
                  <c:v>707259.0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 S&amp;P'!$DP$2</c:f>
              <c:strCache>
                <c:ptCount val="1"/>
                <c:pt idx="0">
                  <c:v>1991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S&amp;P'!$DP$3:$DP$14</c:f>
              <c:numCache>
                <c:formatCode>#,##0_);[Red]\(#,##0\)</c:formatCode>
                <c:ptCount val="12"/>
                <c:pt idx="0">
                  <c:v>-275901.0</c:v>
                </c:pt>
                <c:pt idx="1">
                  <c:v>-382421.0</c:v>
                </c:pt>
                <c:pt idx="2">
                  <c:v>-443065.0</c:v>
                </c:pt>
                <c:pt idx="3">
                  <c:v>-369724.0</c:v>
                </c:pt>
                <c:pt idx="4">
                  <c:v>-185625.0</c:v>
                </c:pt>
                <c:pt idx="5">
                  <c:v>-83718.0</c:v>
                </c:pt>
                <c:pt idx="6">
                  <c:v>61555.0</c:v>
                </c:pt>
                <c:pt idx="7">
                  <c:v>177678.0</c:v>
                </c:pt>
                <c:pt idx="8">
                  <c:v>295975.0</c:v>
                </c:pt>
                <c:pt idx="9">
                  <c:v>582288.0</c:v>
                </c:pt>
                <c:pt idx="10">
                  <c:v>863054.0</c:v>
                </c:pt>
                <c:pt idx="11">
                  <c:v>1.056133E6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 S&amp;P'!$DQ$2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ABEA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S&amp;P'!$DQ$3:$DQ$14</c:f>
              <c:numCache>
                <c:formatCode>#,##0_);[Red]\(#,##0\)</c:formatCode>
                <c:ptCount val="12"/>
                <c:pt idx="0">
                  <c:v>46377.0</c:v>
                </c:pt>
                <c:pt idx="1">
                  <c:v>-33375.0</c:v>
                </c:pt>
                <c:pt idx="2">
                  <c:v>33229.0</c:v>
                </c:pt>
                <c:pt idx="3">
                  <c:v>59984.0</c:v>
                </c:pt>
                <c:pt idx="4">
                  <c:v>218721.0</c:v>
                </c:pt>
                <c:pt idx="5">
                  <c:v>332445.0</c:v>
                </c:pt>
                <c:pt idx="6">
                  <c:v>637957.0</c:v>
                </c:pt>
                <c:pt idx="7">
                  <c:v>716590.0</c:v>
                </c:pt>
                <c:pt idx="8">
                  <c:v>761910.0</c:v>
                </c:pt>
                <c:pt idx="9">
                  <c:v>763462.0</c:v>
                </c:pt>
                <c:pt idx="10">
                  <c:v>460664.0</c:v>
                </c:pt>
                <c:pt idx="11">
                  <c:v>22000.0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 S&amp;P'!$DR$2</c:f>
              <c:strCache>
                <c:ptCount val="1"/>
                <c:pt idx="0">
                  <c:v>1993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x"/>
            <c:size val="6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S&amp;P'!$DR$3:$DR$14</c:f>
              <c:numCache>
                <c:formatCode>#,##0_);[Red]\(#,##0\)</c:formatCode>
                <c:ptCount val="12"/>
                <c:pt idx="0">
                  <c:v>38218.0</c:v>
                </c:pt>
                <c:pt idx="1">
                  <c:v>-145237.0</c:v>
                </c:pt>
                <c:pt idx="2">
                  <c:v>-93061.0</c:v>
                </c:pt>
                <c:pt idx="3">
                  <c:v>-11060.0</c:v>
                </c:pt>
                <c:pt idx="4">
                  <c:v>124839.53</c:v>
                </c:pt>
                <c:pt idx="5">
                  <c:v>302929.29</c:v>
                </c:pt>
                <c:pt idx="6">
                  <c:v>250236.29</c:v>
                </c:pt>
                <c:pt idx="7">
                  <c:v>282476.29</c:v>
                </c:pt>
                <c:pt idx="8">
                  <c:v>316380.7000000001</c:v>
                </c:pt>
                <c:pt idx="9">
                  <c:v>394655.7000000001</c:v>
                </c:pt>
                <c:pt idx="10">
                  <c:v>585196.83</c:v>
                </c:pt>
                <c:pt idx="11">
                  <c:v>596859.1400000001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 S&amp;P'!$DT$2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DD080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S&amp;P'!$DT$3:$DT$14</c:f>
              <c:numCache>
                <c:formatCode>#,##0_);[Red]\(#,##0\)</c:formatCode>
                <c:ptCount val="12"/>
                <c:pt idx="0">
                  <c:v>-284840.614</c:v>
                </c:pt>
                <c:pt idx="1">
                  <c:v>-346887.444</c:v>
                </c:pt>
                <c:pt idx="2">
                  <c:v>-374970.909</c:v>
                </c:pt>
                <c:pt idx="3">
                  <c:v>-605593.6725000001</c:v>
                </c:pt>
                <c:pt idx="4">
                  <c:v>-735587.5985000001</c:v>
                </c:pt>
                <c:pt idx="5">
                  <c:v>-812258.8785000001</c:v>
                </c:pt>
                <c:pt idx="6">
                  <c:v>-886650.651</c:v>
                </c:pt>
                <c:pt idx="7">
                  <c:v>-595100.143</c:v>
                </c:pt>
                <c:pt idx="8">
                  <c:v>-555695.0970000001</c:v>
                </c:pt>
                <c:pt idx="9">
                  <c:v>-579962.6605000001</c:v>
                </c:pt>
                <c:pt idx="10">
                  <c:v>-330256.9890000001</c:v>
                </c:pt>
                <c:pt idx="11">
                  <c:v>-549099.1870000002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'Month S&amp;P'!$DU$2</c:f>
              <c:strCache>
                <c:ptCount val="1"/>
                <c:pt idx="0">
                  <c:v>1996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S&amp;P'!$DU$3:$DU$14</c:f>
              <c:numCache>
                <c:formatCode>#,##0_);[Red]\(#,##0\)</c:formatCode>
                <c:ptCount val="12"/>
                <c:pt idx="0">
                  <c:v>-163729.002</c:v>
                </c:pt>
                <c:pt idx="1">
                  <c:v>-27462.41</c:v>
                </c:pt>
                <c:pt idx="2">
                  <c:v>-266201.402</c:v>
                </c:pt>
                <c:pt idx="3">
                  <c:v>-280246.362</c:v>
                </c:pt>
                <c:pt idx="4">
                  <c:v>-112545.242</c:v>
                </c:pt>
                <c:pt idx="5">
                  <c:v>-146074.167</c:v>
                </c:pt>
                <c:pt idx="6">
                  <c:v>-497889.892</c:v>
                </c:pt>
                <c:pt idx="7">
                  <c:v>-457072.267</c:v>
                </c:pt>
                <c:pt idx="8">
                  <c:v>-366834.827</c:v>
                </c:pt>
                <c:pt idx="9">
                  <c:v>-658457.475</c:v>
                </c:pt>
                <c:pt idx="10">
                  <c:v>-489444.243</c:v>
                </c:pt>
                <c:pt idx="11">
                  <c:v>-319863.523</c:v>
                </c:pt>
              </c:numCache>
            </c:numRef>
          </c:val>
          <c:smooth val="1"/>
        </c:ser>
        <c:ser>
          <c:idx val="8"/>
          <c:order val="8"/>
          <c:tx>
            <c:strRef>
              <c:f>'Month S&amp;P'!$DV$2</c:f>
              <c:strCache>
                <c:ptCount val="1"/>
                <c:pt idx="0">
                  <c:v>1997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'Month S&amp;P'!$DL$3:$DL$9</c:f>
              <c:strCache>
                <c:ptCount val="7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</c:strCache>
            </c:strRef>
          </c:cat>
          <c:val>
            <c:numRef>
              <c:f>'Month S&amp;P'!$DV$3:$DV$14</c:f>
              <c:numCache>
                <c:formatCode>#,##0_);[Red]\(#,##0\)</c:formatCode>
                <c:ptCount val="12"/>
                <c:pt idx="0">
                  <c:v>76783.667</c:v>
                </c:pt>
                <c:pt idx="1">
                  <c:v>84309.488</c:v>
                </c:pt>
                <c:pt idx="2">
                  <c:v>84273.148</c:v>
                </c:pt>
                <c:pt idx="3">
                  <c:v>-134108.385</c:v>
                </c:pt>
                <c:pt idx="4">
                  <c:v>-84435.274</c:v>
                </c:pt>
                <c:pt idx="5">
                  <c:v>-245167.987</c:v>
                </c:pt>
                <c:pt idx="6">
                  <c:v>-340087.108</c:v>
                </c:pt>
                <c:pt idx="7">
                  <c:v>-310287.484</c:v>
                </c:pt>
                <c:pt idx="8">
                  <c:v>-241204.59</c:v>
                </c:pt>
                <c:pt idx="9">
                  <c:v>-57226.09699999997</c:v>
                </c:pt>
                <c:pt idx="10">
                  <c:v>-13799.74699999998</c:v>
                </c:pt>
                <c:pt idx="11">
                  <c:v>36242.26300000002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'Month S&amp;P'!$DS$2</c:f>
              <c:strCache>
                <c:ptCount val="1"/>
                <c:pt idx="0">
                  <c:v>1994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S&amp;P'!$DS$3:$DS$14</c:f>
              <c:numCache>
                <c:formatCode>#,##0_);[Red]\(#,##0\)</c:formatCode>
                <c:ptCount val="12"/>
                <c:pt idx="0">
                  <c:v>-277738.0</c:v>
                </c:pt>
                <c:pt idx="1">
                  <c:v>-433079.33</c:v>
                </c:pt>
                <c:pt idx="2">
                  <c:v>-330557.33</c:v>
                </c:pt>
                <c:pt idx="3">
                  <c:v>-366010.33</c:v>
                </c:pt>
                <c:pt idx="4">
                  <c:v>-532489.7999999999</c:v>
                </c:pt>
                <c:pt idx="5">
                  <c:v>-199714.1199999999</c:v>
                </c:pt>
                <c:pt idx="6">
                  <c:v>-317254.1199999999</c:v>
                </c:pt>
                <c:pt idx="7">
                  <c:v>-177086.1199999999</c:v>
                </c:pt>
                <c:pt idx="8">
                  <c:v>40923.88000000006</c:v>
                </c:pt>
                <c:pt idx="9">
                  <c:v>171094.8800000001</c:v>
                </c:pt>
                <c:pt idx="10">
                  <c:v>459816.8800000001</c:v>
                </c:pt>
                <c:pt idx="11">
                  <c:v>451942.8800000001</c:v>
                </c:pt>
              </c:numCache>
            </c:numRef>
          </c:val>
          <c:smooth val="0"/>
        </c:ser>
        <c:ser>
          <c:idx val="12"/>
          <c:order val="10"/>
          <c:tx>
            <c:v>2001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A6CAF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S&amp;P'!$DZ$3:$DZ$14</c:f>
              <c:numCache>
                <c:formatCode>#,##0_);[Red]\(#,##0\)</c:formatCode>
                <c:ptCount val="12"/>
                <c:pt idx="0">
                  <c:v>64077.0</c:v>
                </c:pt>
                <c:pt idx="1">
                  <c:v>340503.0</c:v>
                </c:pt>
                <c:pt idx="2">
                  <c:v>594709.0</c:v>
                </c:pt>
                <c:pt idx="3">
                  <c:v>1.015044E6</c:v>
                </c:pt>
                <c:pt idx="4">
                  <c:v>1.418946E6</c:v>
                </c:pt>
                <c:pt idx="5">
                  <c:v>1.835419E6</c:v>
                </c:pt>
                <c:pt idx="6">
                  <c:v>1.859849E6</c:v>
                </c:pt>
                <c:pt idx="7">
                  <c:v>2.055331E6</c:v>
                </c:pt>
                <c:pt idx="8">
                  <c:v>2.170752E6</c:v>
                </c:pt>
                <c:pt idx="9">
                  <c:v>2.766498E6</c:v>
                </c:pt>
                <c:pt idx="10">
                  <c:v>2.819409E6</c:v>
                </c:pt>
                <c:pt idx="11">
                  <c:v>2.639717E6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'Month S&amp;P'!$DX$2</c:f>
              <c:strCache>
                <c:ptCount val="1"/>
                <c:pt idx="0">
                  <c:v>1999</c:v>
                </c:pt>
              </c:strCache>
            </c:strRef>
          </c:tx>
          <c:spPr>
            <a:ln w="25400">
              <a:solidFill>
                <a:srgbClr val="00641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FF99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S&amp;P'!$DX$3:$DX$14</c:f>
              <c:numCache>
                <c:formatCode>#,##0_);[Red]\(#,##0\)</c:formatCode>
                <c:ptCount val="12"/>
                <c:pt idx="0">
                  <c:v>214483.0</c:v>
                </c:pt>
                <c:pt idx="1">
                  <c:v>153319.0</c:v>
                </c:pt>
                <c:pt idx="2">
                  <c:v>406512.0</c:v>
                </c:pt>
                <c:pt idx="3">
                  <c:v>457751.0</c:v>
                </c:pt>
                <c:pt idx="4">
                  <c:v>606786.0</c:v>
                </c:pt>
                <c:pt idx="5">
                  <c:v>649983.0</c:v>
                </c:pt>
                <c:pt idx="6">
                  <c:v>830978.0</c:v>
                </c:pt>
                <c:pt idx="7">
                  <c:v>917986.0</c:v>
                </c:pt>
                <c:pt idx="8">
                  <c:v>1.084278E6</c:v>
                </c:pt>
                <c:pt idx="9">
                  <c:v>1.0197E6</c:v>
                </c:pt>
                <c:pt idx="10">
                  <c:v>1.132191E6</c:v>
                </c:pt>
                <c:pt idx="11">
                  <c:v>1.121905E6</c:v>
                </c:pt>
              </c:numCache>
            </c:numRef>
          </c:val>
          <c:smooth val="0"/>
        </c:ser>
        <c:ser>
          <c:idx val="10"/>
          <c:order val="12"/>
          <c:tx>
            <c:strRef>
              <c:f>'Month S&amp;P'!$DW$2</c:f>
              <c:strCache>
                <c:ptCount val="1"/>
                <c:pt idx="0">
                  <c:v>1998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E3E3E3"/>
              </a:solidFill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S&amp;P'!$DW$3:$DW$14</c:f>
              <c:numCache>
                <c:formatCode>#,##0_);[Red]\(#,##0\)</c:formatCode>
                <c:ptCount val="12"/>
                <c:pt idx="0">
                  <c:v>82431.0</c:v>
                </c:pt>
                <c:pt idx="1">
                  <c:v>-118589.0</c:v>
                </c:pt>
                <c:pt idx="2">
                  <c:v>-265951.0</c:v>
                </c:pt>
                <c:pt idx="3">
                  <c:v>-301183.0</c:v>
                </c:pt>
                <c:pt idx="4">
                  <c:v>-544512.0</c:v>
                </c:pt>
                <c:pt idx="5">
                  <c:v>-546684.0</c:v>
                </c:pt>
                <c:pt idx="6">
                  <c:v>-582058.0</c:v>
                </c:pt>
                <c:pt idx="7">
                  <c:v>-692442.0</c:v>
                </c:pt>
                <c:pt idx="8">
                  <c:v>-1.110321E6</c:v>
                </c:pt>
                <c:pt idx="9">
                  <c:v>-1.000907E6</c:v>
                </c:pt>
                <c:pt idx="10">
                  <c:v>-853480.0</c:v>
                </c:pt>
                <c:pt idx="11">
                  <c:v>-844960.0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'Month S&amp;P'!$DY$2</c:f>
              <c:strCache>
                <c:ptCount val="1"/>
                <c:pt idx="0">
                  <c:v>2000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S&amp;P'!$DY$3:$DY$14</c:f>
              <c:numCache>
                <c:formatCode>#,##0_);[Red]\(#,##0\)</c:formatCode>
                <c:ptCount val="12"/>
                <c:pt idx="0">
                  <c:v>87291.0</c:v>
                </c:pt>
                <c:pt idx="1">
                  <c:v>198120.0</c:v>
                </c:pt>
                <c:pt idx="2">
                  <c:v>475302.0</c:v>
                </c:pt>
                <c:pt idx="3">
                  <c:v>448766.0</c:v>
                </c:pt>
                <c:pt idx="4">
                  <c:v>906464.0</c:v>
                </c:pt>
                <c:pt idx="5">
                  <c:v>1.156234E6</c:v>
                </c:pt>
                <c:pt idx="6">
                  <c:v>1.298646E6</c:v>
                </c:pt>
                <c:pt idx="7">
                  <c:v>1.45593E6</c:v>
                </c:pt>
                <c:pt idx="8">
                  <c:v>1.706692E6</c:v>
                </c:pt>
                <c:pt idx="9">
                  <c:v>1.886193E6</c:v>
                </c:pt>
                <c:pt idx="10">
                  <c:v>1.834232E6</c:v>
                </c:pt>
                <c:pt idx="11">
                  <c:v>1.860698E6</c:v>
                </c:pt>
              </c:numCache>
            </c:numRef>
          </c:val>
          <c:smooth val="0"/>
        </c:ser>
        <c:ser>
          <c:idx val="14"/>
          <c:order val="14"/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S&amp;P'!$EA$3:$EA$5</c:f>
              <c:numCache>
                <c:formatCode>#,##0_);[Red]\(#,##0\)</c:formatCode>
                <c:ptCount val="3"/>
                <c:pt idx="0">
                  <c:v>-69909.0</c:v>
                </c:pt>
                <c:pt idx="1">
                  <c:v>-37634.0</c:v>
                </c:pt>
                <c:pt idx="2">
                  <c:v>485602.0</c:v>
                </c:pt>
              </c:numCache>
            </c:numRef>
          </c:val>
          <c:smooth val="0"/>
        </c:ser>
        <c:ser>
          <c:idx val="15"/>
          <c:order val="15"/>
          <c:spPr>
            <a:ln w="38100">
              <a:solidFill>
                <a:srgbClr val="000000"/>
              </a:solidFill>
              <a:prstDash val="solid"/>
            </a:ln>
          </c:spPr>
          <c:marker>
            <c:symbol val="plus"/>
            <c:size val="9"/>
            <c:spPr>
              <a:noFill/>
              <a:ln>
                <a:solidFill>
                  <a:srgbClr val="E3E3E3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S&amp;P'!$EA$3:$EA$14</c:f>
              <c:numCache>
                <c:formatCode>#,##0_);[Red]\(#,##0\)</c:formatCode>
                <c:ptCount val="12"/>
                <c:pt idx="0">
                  <c:v>-69909.0</c:v>
                </c:pt>
                <c:pt idx="1">
                  <c:v>-37634.0</c:v>
                </c:pt>
                <c:pt idx="2">
                  <c:v>485602.0</c:v>
                </c:pt>
                <c:pt idx="3">
                  <c:v>502366.0</c:v>
                </c:pt>
                <c:pt idx="4">
                  <c:v>910330.0</c:v>
                </c:pt>
                <c:pt idx="5">
                  <c:v>975170.0</c:v>
                </c:pt>
                <c:pt idx="6">
                  <c:v>741490.0</c:v>
                </c:pt>
                <c:pt idx="7">
                  <c:v>489579.0</c:v>
                </c:pt>
                <c:pt idx="8">
                  <c:v>495230.0</c:v>
                </c:pt>
                <c:pt idx="9">
                  <c:v>432932.0</c:v>
                </c:pt>
                <c:pt idx="10">
                  <c:v>600280.0</c:v>
                </c:pt>
                <c:pt idx="11">
                  <c:v>528302.0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'Month S&amp;P'!$EG$2</c:f>
              <c:strCache>
                <c:ptCount val="1"/>
                <c:pt idx="0">
                  <c:v>2008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S&amp;P'!$EG$3:$EG$14</c:f>
              <c:numCache>
                <c:formatCode>#,##0_);[Red]\(#,##0\)</c:formatCode>
                <c:ptCount val="12"/>
                <c:pt idx="0">
                  <c:v>82653.0</c:v>
                </c:pt>
                <c:pt idx="1">
                  <c:v>243084.0</c:v>
                </c:pt>
                <c:pt idx="2">
                  <c:v>397361.0</c:v>
                </c:pt>
                <c:pt idx="3">
                  <c:v>973746.0</c:v>
                </c:pt>
                <c:pt idx="4">
                  <c:v>1.607004E6</c:v>
                </c:pt>
                <c:pt idx="5">
                  <c:v>2.333592E6</c:v>
                </c:pt>
                <c:pt idx="6">
                  <c:v>2.909906E6</c:v>
                </c:pt>
                <c:pt idx="7">
                  <c:v>3.343223E6</c:v>
                </c:pt>
                <c:pt idx="8">
                  <c:v>3.846666E6</c:v>
                </c:pt>
                <c:pt idx="9">
                  <c:v>4.48399E6</c:v>
                </c:pt>
                <c:pt idx="10">
                  <c:v>4.488566E6</c:v>
                </c:pt>
                <c:pt idx="11">
                  <c:v>4.367788E6</c:v>
                </c:pt>
              </c:numCache>
            </c:numRef>
          </c:val>
          <c:smooth val="0"/>
        </c:ser>
        <c:ser>
          <c:idx val="17"/>
          <c:order val="17"/>
          <c:tx>
            <c:v>2011</c:v>
          </c:tx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S&amp;P'!$EJ$3:$EJ$14</c:f>
              <c:numCache>
                <c:formatCode>#,##0_);[Red]\(#,##0\)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635752"/>
        <c:axId val="-2048244648"/>
      </c:lineChart>
      <c:catAx>
        <c:axId val="-2048635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24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8244648"/>
        <c:scaling>
          <c:orientation val="minMax"/>
          <c:max val="5.0E6"/>
          <c:min val="-1.2E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635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9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4162526782285"/>
          <c:y val="0.0199556757072778"/>
          <c:w val="0.089886286422319"/>
          <c:h val="0.773679138223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75" t="1.0" header="0.5" footer="0.5"/>
    <c:pageSetup orientation="landscape" horizontalDpi="-4" vertic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ACCUMULATED PROFIT AS % OF SALES (YTD)</a:t>
            </a:r>
          </a:p>
        </c:rich>
      </c:tx>
      <c:layout>
        <c:manualLayout>
          <c:xMode val="edge"/>
          <c:yMode val="edge"/>
          <c:x val="0.403584300022454"/>
          <c:y val="0.029055690072639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351254541760217"/>
          <c:y val="0.174334140435835"/>
          <c:w val="0.950537800763364"/>
          <c:h val="0.7772397094430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'Month S&amp;P'!$FN$2</c:f>
              <c:strCache>
                <c:ptCount val="1"/>
                <c:pt idx="0">
                  <c:v>1988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S&amp;P'!$FN$3:$FN$14</c:f>
              <c:numCache>
                <c:formatCode>0%;[Red]\(0%\)</c:formatCode>
                <c:ptCount val="12"/>
                <c:pt idx="0">
                  <c:v>0.0404300603274257</c:v>
                </c:pt>
                <c:pt idx="1">
                  <c:v>0.173435094150975</c:v>
                </c:pt>
                <c:pt idx="2">
                  <c:v>0.124933624619433</c:v>
                </c:pt>
                <c:pt idx="3">
                  <c:v>0.0152040869339337</c:v>
                </c:pt>
                <c:pt idx="4">
                  <c:v>0.0266109569957145</c:v>
                </c:pt>
                <c:pt idx="5">
                  <c:v>0.0754110105332094</c:v>
                </c:pt>
                <c:pt idx="6">
                  <c:v>0.141588288420172</c:v>
                </c:pt>
                <c:pt idx="7">
                  <c:v>0.154545431724597</c:v>
                </c:pt>
                <c:pt idx="8">
                  <c:v>0.181793511568158</c:v>
                </c:pt>
                <c:pt idx="9">
                  <c:v>0.181741824980064</c:v>
                </c:pt>
                <c:pt idx="10">
                  <c:v>0.165807470471496</c:v>
                </c:pt>
                <c:pt idx="11">
                  <c:v>0.109073322592489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'Month S&amp;P'!$FO$2</c:f>
              <c:strCache>
                <c:ptCount val="1"/>
                <c:pt idx="0">
                  <c:v>1989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S&amp;P'!$FO$3:$FO$14</c:f>
              <c:numCache>
                <c:formatCode>0%;[Red]\(0%\)</c:formatCode>
                <c:ptCount val="12"/>
                <c:pt idx="0">
                  <c:v>0.0544843503636715</c:v>
                </c:pt>
                <c:pt idx="1">
                  <c:v>-0.0860226933753447</c:v>
                </c:pt>
                <c:pt idx="2">
                  <c:v>-0.102949674268308</c:v>
                </c:pt>
                <c:pt idx="3">
                  <c:v>-0.151485429331062</c:v>
                </c:pt>
                <c:pt idx="4">
                  <c:v>-0.0366617062258359</c:v>
                </c:pt>
                <c:pt idx="5">
                  <c:v>0.0290943979620772</c:v>
                </c:pt>
                <c:pt idx="6">
                  <c:v>0.0437342755770965</c:v>
                </c:pt>
                <c:pt idx="7">
                  <c:v>0.0586601102051683</c:v>
                </c:pt>
                <c:pt idx="8">
                  <c:v>0.0817735011956033</c:v>
                </c:pt>
                <c:pt idx="9">
                  <c:v>0.0910183940820789</c:v>
                </c:pt>
                <c:pt idx="10">
                  <c:v>0.0938781987897633</c:v>
                </c:pt>
                <c:pt idx="11">
                  <c:v>0.0889338840955277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'Month S&amp;P'!$FP$2</c:f>
              <c:strCache>
                <c:ptCount val="1"/>
                <c:pt idx="0">
                  <c:v>1990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D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S&amp;P'!$FP$3:$FP$14</c:f>
              <c:numCache>
                <c:formatCode>0%;[Red]\(0%\)</c:formatCode>
                <c:ptCount val="12"/>
                <c:pt idx="0">
                  <c:v>0.130915947650885</c:v>
                </c:pt>
                <c:pt idx="1">
                  <c:v>-0.0286000814162902</c:v>
                </c:pt>
                <c:pt idx="2">
                  <c:v>0.0970701941916536</c:v>
                </c:pt>
                <c:pt idx="3">
                  <c:v>0.0817791011901039</c:v>
                </c:pt>
                <c:pt idx="4">
                  <c:v>0.0688937012070634</c:v>
                </c:pt>
                <c:pt idx="5">
                  <c:v>0.0813176377588509</c:v>
                </c:pt>
                <c:pt idx="6">
                  <c:v>0.0885911800337927</c:v>
                </c:pt>
                <c:pt idx="7">
                  <c:v>0.0952174519673656</c:v>
                </c:pt>
                <c:pt idx="8">
                  <c:v>0.111032045314111</c:v>
                </c:pt>
                <c:pt idx="9">
                  <c:v>0.0952865086620437</c:v>
                </c:pt>
                <c:pt idx="10">
                  <c:v>0.0761692984792562</c:v>
                </c:pt>
                <c:pt idx="11">
                  <c:v>0.0656849602719012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'Month S&amp;P'!$FQ$2</c:f>
              <c:strCache>
                <c:ptCount val="1"/>
                <c:pt idx="0">
                  <c:v>1991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S&amp;P'!$FQ$3:$FQ$14</c:f>
              <c:numCache>
                <c:formatCode>0%;[Red]\(0%\)</c:formatCode>
                <c:ptCount val="12"/>
                <c:pt idx="0">
                  <c:v>-0.383134106171783</c:v>
                </c:pt>
                <c:pt idx="1">
                  <c:v>-0.242685872320226</c:v>
                </c:pt>
                <c:pt idx="2">
                  <c:v>-0.167078330517678</c:v>
                </c:pt>
                <c:pt idx="3">
                  <c:v>-0.100842472299441</c:v>
                </c:pt>
                <c:pt idx="4">
                  <c:v>-0.0377958922049955</c:v>
                </c:pt>
                <c:pt idx="5">
                  <c:v>-0.0141614734103189</c:v>
                </c:pt>
                <c:pt idx="6">
                  <c:v>0.00888481979714811</c:v>
                </c:pt>
                <c:pt idx="7">
                  <c:v>0.0219345129891974</c:v>
                </c:pt>
                <c:pt idx="8">
                  <c:v>0.0320769278371811</c:v>
                </c:pt>
                <c:pt idx="9">
                  <c:v>0.0540232268479539</c:v>
                </c:pt>
                <c:pt idx="10">
                  <c:v>0.069033688811923</c:v>
                </c:pt>
                <c:pt idx="11">
                  <c:v>0.0749123950995021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'Month S&amp;P'!$FR$2</c:f>
              <c:strCache>
                <c:ptCount val="1"/>
                <c:pt idx="0">
                  <c:v>1992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2088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S&amp;P'!$FR$3:$FR$14</c:f>
              <c:numCache>
                <c:formatCode>0%;[Red]\(0%\)</c:formatCode>
                <c:ptCount val="12"/>
                <c:pt idx="0">
                  <c:v>0.0456363673935697</c:v>
                </c:pt>
                <c:pt idx="1">
                  <c:v>-0.0170450279844886</c:v>
                </c:pt>
                <c:pt idx="2">
                  <c:v>0.00996413343764552</c:v>
                </c:pt>
                <c:pt idx="3">
                  <c:v>0.0130378855950752</c:v>
                </c:pt>
                <c:pt idx="4">
                  <c:v>0.0363988229015314</c:v>
                </c:pt>
                <c:pt idx="5">
                  <c:v>0.0434887886322822</c:v>
                </c:pt>
                <c:pt idx="6">
                  <c:v>0.0701600901628924</c:v>
                </c:pt>
                <c:pt idx="7">
                  <c:v>0.0671663314083278</c:v>
                </c:pt>
                <c:pt idx="8">
                  <c:v>0.0630241465588722</c:v>
                </c:pt>
                <c:pt idx="9">
                  <c:v>0.0568709314961308</c:v>
                </c:pt>
                <c:pt idx="10">
                  <c:v>0.0316232580020406</c:v>
                </c:pt>
                <c:pt idx="11">
                  <c:v>0.00137262647146338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'Month S&amp;P'!$FS$2</c:f>
              <c:strCache>
                <c:ptCount val="1"/>
                <c:pt idx="0">
                  <c:v>1993</c:v>
                </c:pt>
              </c:strCache>
            </c:strRef>
          </c:tx>
          <c:spPr>
            <a:ln w="127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S&amp;P'!$FS$3:$FS$14</c:f>
              <c:numCache>
                <c:formatCode>0%;[Red]\(0%\)</c:formatCode>
                <c:ptCount val="12"/>
                <c:pt idx="0">
                  <c:v>0.0297411713436367</c:v>
                </c:pt>
                <c:pt idx="1">
                  <c:v>-0.0609495296918972</c:v>
                </c:pt>
                <c:pt idx="2">
                  <c:v>-0.024564276492694</c:v>
                </c:pt>
                <c:pt idx="3">
                  <c:v>-0.00215362764556897</c:v>
                </c:pt>
                <c:pt idx="4">
                  <c:v>0.018866415955275</c:v>
                </c:pt>
                <c:pt idx="5">
                  <c:v>0.0373517430070263</c:v>
                </c:pt>
                <c:pt idx="6">
                  <c:v>0.0267408586175236</c:v>
                </c:pt>
                <c:pt idx="7">
                  <c:v>0.0266445074545351</c:v>
                </c:pt>
                <c:pt idx="8">
                  <c:v>0.0265977971485464</c:v>
                </c:pt>
                <c:pt idx="9">
                  <c:v>0.0299726225521273</c:v>
                </c:pt>
                <c:pt idx="10">
                  <c:v>0.0405136707119691</c:v>
                </c:pt>
                <c:pt idx="11">
                  <c:v>0.0379880254806801</c:v>
                </c:pt>
              </c:numCache>
            </c:numRef>
          </c:yVal>
          <c:smooth val="0"/>
        </c:ser>
        <c:ser>
          <c:idx val="6"/>
          <c:order val="6"/>
          <c:tx>
            <c:v>1994</c:v>
          </c:tx>
          <c:spPr>
            <a:ln w="12700">
              <a:solidFill>
                <a:srgbClr val="00ABEA"/>
              </a:solidFill>
              <a:prstDash val="solid"/>
            </a:ln>
          </c:spPr>
          <c:marker>
            <c:symbol val="plus"/>
            <c:size val="6"/>
            <c:spPr>
              <a:solidFill>
                <a:srgbClr val="00ABEA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S&amp;P'!$FT$3:$FT$14</c:f>
              <c:numCache>
                <c:formatCode>0%;[Red]\(0%\)</c:formatCode>
                <c:ptCount val="12"/>
                <c:pt idx="0">
                  <c:v>-0.327508562493203</c:v>
                </c:pt>
                <c:pt idx="1">
                  <c:v>-0.217862278571109</c:v>
                </c:pt>
                <c:pt idx="2">
                  <c:v>-0.0936079874356314</c:v>
                </c:pt>
                <c:pt idx="3">
                  <c:v>-0.0735533240178333</c:v>
                </c:pt>
                <c:pt idx="4">
                  <c:v>-0.0845275412037194</c:v>
                </c:pt>
                <c:pt idx="5">
                  <c:v>-0.0243656016794245</c:v>
                </c:pt>
                <c:pt idx="6">
                  <c:v>-0.0329362611062342</c:v>
                </c:pt>
                <c:pt idx="7">
                  <c:v>-0.0155929903829628</c:v>
                </c:pt>
                <c:pt idx="8">
                  <c:v>0.00312184918462105</c:v>
                </c:pt>
                <c:pt idx="9">
                  <c:v>0.0114646185237562</c:v>
                </c:pt>
                <c:pt idx="10">
                  <c:v>0.0272075186324055</c:v>
                </c:pt>
                <c:pt idx="11">
                  <c:v>0.0243537485257081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'Month S&amp;P'!$FU$2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S&amp;P'!$FU$3:$FU$14</c:f>
              <c:numCache>
                <c:formatCode>0%;[Red]\(0%\)</c:formatCode>
                <c:ptCount val="12"/>
                <c:pt idx="0">
                  <c:v>-0.277872613975959</c:v>
                </c:pt>
                <c:pt idx="1">
                  <c:v>-0.142294370315346</c:v>
                </c:pt>
                <c:pt idx="2">
                  <c:v>-0.0922635004903796</c:v>
                </c:pt>
                <c:pt idx="3">
                  <c:v>-0.113273527703247</c:v>
                </c:pt>
                <c:pt idx="4">
                  <c:v>-0.109559158667401</c:v>
                </c:pt>
                <c:pt idx="5">
                  <c:v>-0.0983246873626369</c:v>
                </c:pt>
                <c:pt idx="6">
                  <c:v>-0.0920887519358822</c:v>
                </c:pt>
                <c:pt idx="7">
                  <c:v>-0.0528369580713652</c:v>
                </c:pt>
                <c:pt idx="8">
                  <c:v>-0.0443760237776567</c:v>
                </c:pt>
                <c:pt idx="9">
                  <c:v>-0.0421556487963785</c:v>
                </c:pt>
                <c:pt idx="10">
                  <c:v>-0.0215274495899813</c:v>
                </c:pt>
                <c:pt idx="11">
                  <c:v>-0.0332770081580738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'Month S&amp;P'!$FV$2</c:f>
              <c:strCache>
                <c:ptCount val="1"/>
                <c:pt idx="0">
                  <c:v>1996</c:v>
                </c:pt>
              </c:strCache>
            </c:strRef>
          </c:tx>
          <c:spPr>
            <a:ln w="12700">
              <a:solidFill>
                <a:srgbClr val="9000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S&amp;P'!$FV$3:$FV$14</c:f>
              <c:numCache>
                <c:formatCode>0%;[Red]\(0%\)</c:formatCode>
                <c:ptCount val="12"/>
                <c:pt idx="0">
                  <c:v>-0.158932568389801</c:v>
                </c:pt>
                <c:pt idx="1">
                  <c:v>-0.0113816656442125</c:v>
                </c:pt>
                <c:pt idx="2">
                  <c:v>-0.0771384748441529</c:v>
                </c:pt>
                <c:pt idx="3">
                  <c:v>-0.0602795595230604</c:v>
                </c:pt>
                <c:pt idx="4">
                  <c:v>-0.0182878421023195</c:v>
                </c:pt>
                <c:pt idx="5">
                  <c:v>-0.0190997017261017</c:v>
                </c:pt>
                <c:pt idx="6">
                  <c:v>-0.0553672437469403</c:v>
                </c:pt>
                <c:pt idx="7">
                  <c:v>-0.0448447397103875</c:v>
                </c:pt>
                <c:pt idx="8">
                  <c:v>-0.0321993818619932</c:v>
                </c:pt>
                <c:pt idx="9">
                  <c:v>-0.0530647556330055</c:v>
                </c:pt>
                <c:pt idx="10">
                  <c:v>-0.0355339632523437</c:v>
                </c:pt>
                <c:pt idx="11">
                  <c:v>-0.0213971788604901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'Month S&amp;P'!$FW$2</c:f>
              <c:strCache>
                <c:ptCount val="1"/>
                <c:pt idx="0">
                  <c:v>1997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S&amp;P'!$FW$3:$FW$14</c:f>
              <c:numCache>
                <c:formatCode>0%;[Red]\(0%\)</c:formatCode>
                <c:ptCount val="12"/>
                <c:pt idx="0">
                  <c:v>0.0728330060627177</c:v>
                </c:pt>
                <c:pt idx="1">
                  <c:v>0.0397990009750923</c:v>
                </c:pt>
                <c:pt idx="2">
                  <c:v>0.0267477548994769</c:v>
                </c:pt>
                <c:pt idx="3">
                  <c:v>-0.0334584701590155</c:v>
                </c:pt>
                <c:pt idx="4">
                  <c:v>-0.0165907823557382</c:v>
                </c:pt>
                <c:pt idx="5">
                  <c:v>-0.040599104500897</c:v>
                </c:pt>
                <c:pt idx="6">
                  <c:v>-0.0472683638811628</c:v>
                </c:pt>
                <c:pt idx="7">
                  <c:v>-0.037616640164806</c:v>
                </c:pt>
                <c:pt idx="8">
                  <c:v>-0.0254409590879837</c:v>
                </c:pt>
                <c:pt idx="9">
                  <c:v>-0.00532720689976314</c:v>
                </c:pt>
                <c:pt idx="10">
                  <c:v>-0.00116012101282061</c:v>
                </c:pt>
                <c:pt idx="11">
                  <c:v>0.00276506318334706</c:v>
                </c:pt>
              </c:numCache>
            </c:numRef>
          </c:yVal>
          <c:smooth val="0"/>
        </c:ser>
        <c:ser>
          <c:idx val="11"/>
          <c:order val="10"/>
          <c:tx>
            <c:strRef>
              <c:f>'Month S&amp;P'!$FX$2</c:f>
              <c:strCache>
                <c:ptCount val="1"/>
                <c:pt idx="0">
                  <c:v>1998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S&amp;P'!$FX$3:$FX$14</c:f>
              <c:numCache>
                <c:formatCode>0%;[Red]\(0%\)</c:formatCode>
                <c:ptCount val="12"/>
                <c:pt idx="0">
                  <c:v>0.0868232126832186</c:v>
                </c:pt>
                <c:pt idx="1">
                  <c:v>-0.0654785929741468</c:v>
                </c:pt>
                <c:pt idx="2">
                  <c:v>-0.0908649856280457</c:v>
                </c:pt>
                <c:pt idx="3">
                  <c:v>-0.0777773732024265</c:v>
                </c:pt>
                <c:pt idx="4">
                  <c:v>-0.114437537711539</c:v>
                </c:pt>
                <c:pt idx="5">
                  <c:v>-0.0941834544787033</c:v>
                </c:pt>
                <c:pt idx="6">
                  <c:v>-0.0855563393355463</c:v>
                </c:pt>
                <c:pt idx="7">
                  <c:v>-0.089584192324715</c:v>
                </c:pt>
                <c:pt idx="8">
                  <c:v>-0.129736359624303</c:v>
                </c:pt>
                <c:pt idx="9">
                  <c:v>-0.104248353691599</c:v>
                </c:pt>
                <c:pt idx="10">
                  <c:v>-0.0804045285720678</c:v>
                </c:pt>
                <c:pt idx="11">
                  <c:v>-0.0726694909059072</c:v>
                </c:pt>
              </c:numCache>
            </c:numRef>
          </c:yVal>
          <c:smooth val="0"/>
        </c:ser>
        <c:ser>
          <c:idx val="10"/>
          <c:order val="11"/>
          <c:tx>
            <c:strRef>
              <c:f>'Month S&amp;P'!$FY$2</c:f>
              <c:strCache>
                <c:ptCount val="1"/>
                <c:pt idx="0">
                  <c:v>1999</c:v>
                </c:pt>
              </c:strCache>
            </c:strRef>
          </c:tx>
          <c:spPr>
            <a:ln w="25400">
              <a:solidFill>
                <a:srgbClr val="6633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6666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S&amp;P'!$FY$3:$FY$14</c:f>
              <c:numCache>
                <c:formatCode>0%;[Red]\(0%\)</c:formatCode>
                <c:ptCount val="12"/>
                <c:pt idx="0">
                  <c:v>0.228780158441484</c:v>
                </c:pt>
                <c:pt idx="1">
                  <c:v>0.0889720791120839</c:v>
                </c:pt>
                <c:pt idx="2">
                  <c:v>0.138202918732283</c:v>
                </c:pt>
                <c:pt idx="3">
                  <c:v>0.11786102342539</c:v>
                </c:pt>
                <c:pt idx="4">
                  <c:v>0.123392610466692</c:v>
                </c:pt>
                <c:pt idx="5">
                  <c:v>0.111170004248516</c:v>
                </c:pt>
                <c:pt idx="6">
                  <c:v>0.121145774881865</c:v>
                </c:pt>
                <c:pt idx="7">
                  <c:v>0.117965068956646</c:v>
                </c:pt>
                <c:pt idx="8">
                  <c:v>0.122572757502124</c:v>
                </c:pt>
                <c:pt idx="9">
                  <c:v>0.105086855105045</c:v>
                </c:pt>
                <c:pt idx="10">
                  <c:v>0.105209764681186</c:v>
                </c:pt>
                <c:pt idx="11">
                  <c:v>0.0939504597974802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'Month S&amp;P'!$GA$2</c:f>
              <c:strCache>
                <c:ptCount val="1"/>
                <c:pt idx="0">
                  <c:v>2001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A6CAF0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S&amp;P'!$GA$3:$GA$14</c:f>
              <c:numCache>
                <c:formatCode>0%;[Red]\(0%\)</c:formatCode>
                <c:ptCount val="12"/>
                <c:pt idx="0">
                  <c:v>0.0679393521709166</c:v>
                </c:pt>
                <c:pt idx="1">
                  <c:v>0.155840108084804</c:v>
                </c:pt>
                <c:pt idx="2">
                  <c:v>0.171898602459786</c:v>
                </c:pt>
                <c:pt idx="3">
                  <c:v>0.201105497351962</c:v>
                </c:pt>
                <c:pt idx="4">
                  <c:v>0.214063302390781</c:v>
                </c:pt>
                <c:pt idx="5">
                  <c:v>0.223858229955175</c:v>
                </c:pt>
                <c:pt idx="6">
                  <c:v>0.196869583000604</c:v>
                </c:pt>
                <c:pt idx="7">
                  <c:v>0.189745479199582</c:v>
                </c:pt>
                <c:pt idx="8">
                  <c:v>0.180917152230382</c:v>
                </c:pt>
                <c:pt idx="9">
                  <c:v>0.200087050405917</c:v>
                </c:pt>
                <c:pt idx="10">
                  <c:v>0.188038886856561</c:v>
                </c:pt>
                <c:pt idx="11">
                  <c:v>0.162519942380504</c:v>
                </c:pt>
              </c:numCache>
            </c:numRef>
          </c:yVal>
          <c:smooth val="0"/>
        </c:ser>
        <c:ser>
          <c:idx val="13"/>
          <c:order val="13"/>
          <c:tx>
            <c:strRef>
              <c:f>'Month S&amp;P'!$FZ$2</c:f>
              <c:strCache>
                <c:ptCount val="1"/>
                <c:pt idx="0">
                  <c:v>2000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strRef>
              <c:f>'Month S&amp;P'!$FM$3:$FM$14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xVal>
          <c:yVal>
            <c:numRef>
              <c:f>'Month S&amp;P'!$FZ$3:$FZ$14</c:f>
              <c:numCache>
                <c:formatCode>0%;[Red]\(0%\)</c:formatCode>
                <c:ptCount val="12"/>
                <c:pt idx="0">
                  <c:v>0.095793013083185</c:v>
                </c:pt>
                <c:pt idx="1">
                  <c:v>0.106890071880498</c:v>
                </c:pt>
                <c:pt idx="2">
                  <c:v>0.157005615247682</c:v>
                </c:pt>
                <c:pt idx="3">
                  <c:v>0.114875420608236</c:v>
                </c:pt>
                <c:pt idx="4">
                  <c:v>0.170224880410629</c:v>
                </c:pt>
                <c:pt idx="5">
                  <c:v>0.175485827378748</c:v>
                </c:pt>
                <c:pt idx="6">
                  <c:v>0.168496740794735</c:v>
                </c:pt>
                <c:pt idx="7">
                  <c:v>0.163607622638855</c:v>
                </c:pt>
                <c:pt idx="8">
                  <c:v>0.168184161288056</c:v>
                </c:pt>
                <c:pt idx="9">
                  <c:v>0.166826901985868</c:v>
                </c:pt>
                <c:pt idx="10">
                  <c:v>0.149447432200267</c:v>
                </c:pt>
                <c:pt idx="11">
                  <c:v>0.137915356776968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6543512"/>
        <c:axId val="-2056540552"/>
      </c:scatterChart>
      <c:valAx>
        <c:axId val="-2056543512"/>
        <c:scaling>
          <c:orientation val="minMax"/>
        </c:scaling>
        <c:delete val="0"/>
        <c:axPos val="t"/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6540552"/>
        <c:crosses val="max"/>
        <c:crossBetween val="midCat"/>
      </c:valAx>
      <c:valAx>
        <c:axId val="-2056540552"/>
        <c:scaling>
          <c:orientation val="minMax"/>
          <c:max val="0.25"/>
          <c:min val="-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65435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2401449863045"/>
          <c:y val="0.169491525423729"/>
          <c:w val="0.0444444522227214"/>
          <c:h val="0.476997578692494"/>
        </c:manualLayout>
      </c:layout>
      <c:overlay val="0"/>
      <c:spPr>
        <a:solidFill>
          <a:srgbClr val="C0C0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0.0" l="0.05" r="0.05" t="0.0" header="0.5" footer="0.5"/>
    <c:pageSetup orientation="landscape" horizontalDpi="-4" verticalDpi="-4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YTD SALES.</a:t>
            </a:r>
          </a:p>
        </c:rich>
      </c:tx>
      <c:layout>
        <c:manualLayout>
          <c:xMode val="edge"/>
          <c:yMode val="edge"/>
          <c:x val="0.459926294171869"/>
          <c:y val="0.024271895000351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75033761267"/>
          <c:y val="0.140776991002036"/>
          <c:w val="0.864365501915496"/>
          <c:h val="0.776700640011235"/>
        </c:manualLayout>
      </c:layout>
      <c:lineChart>
        <c:grouping val="standard"/>
        <c:varyColors val="0"/>
        <c:ser>
          <c:idx val="0"/>
          <c:order val="0"/>
          <c:tx>
            <c:strRef>
              <c:f>'Month S&amp;P'!$EO$2</c:f>
              <c:strCache>
                <c:ptCount val="1"/>
                <c:pt idx="0">
                  <c:v>1988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S&amp;P'!$EO$3:$EO$14</c:f>
              <c:numCache>
                <c:formatCode>#,##0_);[Red]\(#,##0\)</c:formatCode>
                <c:ptCount val="12"/>
                <c:pt idx="0">
                  <c:v>346277.0</c:v>
                </c:pt>
                <c:pt idx="1">
                  <c:v>750125.0</c:v>
                </c:pt>
                <c:pt idx="2">
                  <c:v>1.088506E6</c:v>
                </c:pt>
                <c:pt idx="3">
                  <c:v>1.443625E6</c:v>
                </c:pt>
                <c:pt idx="4">
                  <c:v>1.724177E6</c:v>
                </c:pt>
                <c:pt idx="5">
                  <c:v>2.275185E6</c:v>
                </c:pt>
                <c:pt idx="6">
                  <c:v>2.944163E6</c:v>
                </c:pt>
                <c:pt idx="7">
                  <c:v>3.585237E6</c:v>
                </c:pt>
                <c:pt idx="8">
                  <c:v>4.193494E6</c:v>
                </c:pt>
                <c:pt idx="9">
                  <c:v>4.824239E6</c:v>
                </c:pt>
                <c:pt idx="10">
                  <c:v>5.269654E6</c:v>
                </c:pt>
                <c:pt idx="11">
                  <c:v>5.847461E6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 S&amp;P'!$EP$2</c:f>
              <c:strCache>
                <c:ptCount val="1"/>
                <c:pt idx="0">
                  <c:v>1989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S&amp;P'!$EP$3:$EP$14</c:f>
              <c:numCache>
                <c:formatCode>#,##0_);[Red]\(#,##0\)</c:formatCode>
                <c:ptCount val="12"/>
                <c:pt idx="0">
                  <c:v>429371.0</c:v>
                </c:pt>
                <c:pt idx="1">
                  <c:v>834872.72</c:v>
                </c:pt>
                <c:pt idx="2">
                  <c:v>1.22516172E6</c:v>
                </c:pt>
                <c:pt idx="3">
                  <c:v>1.54725772E6</c:v>
                </c:pt>
                <c:pt idx="4">
                  <c:v>2.23227472E6</c:v>
                </c:pt>
                <c:pt idx="5">
                  <c:v>3.09372272E6</c:v>
                </c:pt>
                <c:pt idx="6">
                  <c:v>3.77479672E6</c:v>
                </c:pt>
                <c:pt idx="7">
                  <c:v>4.59184272E6</c:v>
                </c:pt>
                <c:pt idx="8">
                  <c:v>5.45965372E6</c:v>
                </c:pt>
                <c:pt idx="9">
                  <c:v>6.27552272E6</c:v>
                </c:pt>
                <c:pt idx="10">
                  <c:v>7.12926972E6</c:v>
                </c:pt>
                <c:pt idx="11">
                  <c:v>7.89324572E6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 S&amp;P'!$EQ$2</c:f>
              <c:strCache>
                <c:ptCount val="1"/>
                <c:pt idx="0">
                  <c:v>1990</c:v>
                </c:pt>
              </c:strCache>
            </c:strRef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S&amp;P'!$EQ$3:$EQ$14</c:f>
              <c:numCache>
                <c:formatCode>#,##0_);[Red]\(#,##0\)</c:formatCode>
                <c:ptCount val="12"/>
                <c:pt idx="0">
                  <c:v>741407.0</c:v>
                </c:pt>
                <c:pt idx="1">
                  <c:v>1.245451E6</c:v>
                </c:pt>
                <c:pt idx="2">
                  <c:v>2.223731E6</c:v>
                </c:pt>
                <c:pt idx="3">
                  <c:v>3.101746E6</c:v>
                </c:pt>
                <c:pt idx="4">
                  <c:v>3.921418E6</c:v>
                </c:pt>
                <c:pt idx="5">
                  <c:v>4.989262E6</c:v>
                </c:pt>
                <c:pt idx="6">
                  <c:v>5.956304E6</c:v>
                </c:pt>
                <c:pt idx="7">
                  <c:v>7.031001E6</c:v>
                </c:pt>
                <c:pt idx="8">
                  <c:v>8.112793E6</c:v>
                </c:pt>
                <c:pt idx="9">
                  <c:v>9.062815E6</c:v>
                </c:pt>
                <c:pt idx="10">
                  <c:v>9.855375E6</c:v>
                </c:pt>
                <c:pt idx="11">
                  <c:v>1.0767442E7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 S&amp;P'!$ER$2</c:f>
              <c:strCache>
                <c:ptCount val="1"/>
                <c:pt idx="0">
                  <c:v>1991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S&amp;P'!$ER$3:$ER$14</c:f>
              <c:numCache>
                <c:formatCode>#,##0_);[Red]\(#,##0\)</c:formatCode>
                <c:ptCount val="12"/>
                <c:pt idx="0">
                  <c:v>720116.0</c:v>
                </c:pt>
                <c:pt idx="1">
                  <c:v>1.575786E6</c:v>
                </c:pt>
                <c:pt idx="2">
                  <c:v>2.65184E6</c:v>
                </c:pt>
                <c:pt idx="3">
                  <c:v>3.666352E6</c:v>
                </c:pt>
                <c:pt idx="4">
                  <c:v>4.911248E6</c:v>
                </c:pt>
                <c:pt idx="5">
                  <c:v>5.911673E6</c:v>
                </c:pt>
                <c:pt idx="6">
                  <c:v>6.928109E6</c:v>
                </c:pt>
                <c:pt idx="7">
                  <c:v>8.100385E6</c:v>
                </c:pt>
                <c:pt idx="8">
                  <c:v>9.227037E6</c:v>
                </c:pt>
                <c:pt idx="9">
                  <c:v>1.0778475E7</c:v>
                </c:pt>
                <c:pt idx="10">
                  <c:v>1.2501925E7</c:v>
                </c:pt>
                <c:pt idx="11">
                  <c:v>1.4098241E7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 S&amp;P'!$ES$2</c:f>
              <c:strCache>
                <c:ptCount val="1"/>
                <c:pt idx="0">
                  <c:v>1992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S&amp;P'!$ES$3:$ES$14</c:f>
              <c:numCache>
                <c:formatCode>#,##0_);[Red]\(#,##0\)</c:formatCode>
                <c:ptCount val="12"/>
                <c:pt idx="0">
                  <c:v>1.016229E6</c:v>
                </c:pt>
                <c:pt idx="1">
                  <c:v>1.958049E6</c:v>
                </c:pt>
                <c:pt idx="2">
                  <c:v>3.334861E6</c:v>
                </c:pt>
                <c:pt idx="3">
                  <c:v>4.600746E6</c:v>
                </c:pt>
                <c:pt idx="4">
                  <c:v>6.009013E6</c:v>
                </c:pt>
                <c:pt idx="5">
                  <c:v>7.644384E6</c:v>
                </c:pt>
                <c:pt idx="6">
                  <c:v>9.092876E6</c:v>
                </c:pt>
                <c:pt idx="7">
                  <c:v>1.0668887E7</c:v>
                </c:pt>
                <c:pt idx="8">
                  <c:v>1.2089176E7</c:v>
                </c:pt>
                <c:pt idx="9">
                  <c:v>1.3424468E7</c:v>
                </c:pt>
                <c:pt idx="10">
                  <c:v>1.4567253E7</c:v>
                </c:pt>
                <c:pt idx="11">
                  <c:v>1.6027667E7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 S&amp;P'!$ET$2</c:f>
              <c:strCache>
                <c:ptCount val="1"/>
                <c:pt idx="0">
                  <c:v>1993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S&amp;P'!$ET$3:$ET$14</c:f>
              <c:numCache>
                <c:formatCode>#,##0_);[Red]\(#,##0\)</c:formatCode>
                <c:ptCount val="12"/>
                <c:pt idx="0">
                  <c:v>1.28502E6</c:v>
                </c:pt>
                <c:pt idx="1">
                  <c:v>2.382906E6</c:v>
                </c:pt>
                <c:pt idx="2">
                  <c:v>3.788469E6</c:v>
                </c:pt>
                <c:pt idx="3">
                  <c:v>5.135521E6</c:v>
                </c:pt>
                <c:pt idx="4">
                  <c:v>6.61702415E6</c:v>
                </c:pt>
                <c:pt idx="5">
                  <c:v>8.11017815E6</c:v>
                </c:pt>
                <c:pt idx="6">
                  <c:v>9.35782555E6</c:v>
                </c:pt>
                <c:pt idx="7">
                  <c:v>1.060167055E7</c:v>
                </c:pt>
                <c:pt idx="8">
                  <c:v>1.189499635E7</c:v>
                </c:pt>
                <c:pt idx="9">
                  <c:v>1.316720615E7</c:v>
                </c:pt>
                <c:pt idx="10">
                  <c:v>1.444442875E7</c:v>
                </c:pt>
                <c:pt idx="11">
                  <c:v>1.571177055E7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 S&amp;P'!$EU$2</c:f>
              <c:strCache>
                <c:ptCount val="1"/>
                <c:pt idx="0">
                  <c:v>1994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S&amp;P'!$EU$3:$EU$14</c:f>
              <c:numCache>
                <c:formatCode>#,##0_);[Red]\(#,##0\)</c:formatCode>
                <c:ptCount val="12"/>
                <c:pt idx="0">
                  <c:v>848032.79</c:v>
                </c:pt>
                <c:pt idx="1">
                  <c:v>1.98785826E6</c:v>
                </c:pt>
                <c:pt idx="2">
                  <c:v>3.53129406E6</c:v>
                </c:pt>
                <c:pt idx="3">
                  <c:v>4.97612222E6</c:v>
                </c:pt>
                <c:pt idx="4">
                  <c:v>6.2996012E6</c:v>
                </c:pt>
                <c:pt idx="5">
                  <c:v>8.19656016E6</c:v>
                </c:pt>
                <c:pt idx="6">
                  <c:v>9.63236595E6</c:v>
                </c:pt>
                <c:pt idx="7">
                  <c:v>1.135677735E7</c:v>
                </c:pt>
                <c:pt idx="8">
                  <c:v>1.310885875E7</c:v>
                </c:pt>
                <c:pt idx="9">
                  <c:v>1.492373075E7</c:v>
                </c:pt>
                <c:pt idx="10">
                  <c:v>1.690036075E7</c:v>
                </c:pt>
                <c:pt idx="11">
                  <c:v>1.855742575E7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'Month S&amp;P'!$EV$2</c:f>
              <c:strCache>
                <c:ptCount val="1"/>
                <c:pt idx="0">
                  <c:v>1995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S&amp;P'!$EV$3:$EV$14</c:f>
              <c:numCache>
                <c:formatCode>#,##0_);[Red]\(#,##0\)</c:formatCode>
                <c:ptCount val="12"/>
                <c:pt idx="0">
                  <c:v>1.0250762388E6</c:v>
                </c:pt>
                <c:pt idx="1">
                  <c:v>2.437815658E6</c:v>
                </c:pt>
                <c:pt idx="2">
                  <c:v>4.0641305284E6</c:v>
                </c:pt>
                <c:pt idx="3">
                  <c:v>5.3462948032E6</c:v>
                </c:pt>
                <c:pt idx="4">
                  <c:v>6.7140676092E6</c:v>
                </c:pt>
                <c:pt idx="5">
                  <c:v>8.2609861296E6</c:v>
                </c:pt>
                <c:pt idx="6">
                  <c:v>9.628218782E6</c:v>
                </c:pt>
                <c:pt idx="7">
                  <c:v>1.12629523864E7</c:v>
                </c:pt>
                <c:pt idx="8">
                  <c:v>1.2522417506E7</c:v>
                </c:pt>
                <c:pt idx="9">
                  <c:v>1.37576499724E7</c:v>
                </c:pt>
                <c:pt idx="10">
                  <c:v>1.5341203686E7</c:v>
                </c:pt>
                <c:pt idx="11">
                  <c:v>1.65008580216E7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'Month S&amp;P'!$EW$2</c:f>
              <c:strCache>
                <c:ptCount val="1"/>
                <c:pt idx="0">
                  <c:v>1996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S&amp;P'!$EW$3:$EW$14</c:f>
              <c:numCache>
                <c:formatCode>#,##0_);[Red]\(#,##0\)</c:formatCode>
                <c:ptCount val="12"/>
                <c:pt idx="0">
                  <c:v>1.030179048E6</c:v>
                </c:pt>
                <c:pt idx="1">
                  <c:v>2.4128638864E6</c:v>
                </c:pt>
                <c:pt idx="2">
                  <c:v>3.4509549552E6</c:v>
                </c:pt>
                <c:pt idx="3">
                  <c:v>4.6491109792E6</c:v>
                </c:pt>
                <c:pt idx="4">
                  <c:v>6.1541018E6</c:v>
                </c:pt>
                <c:pt idx="5">
                  <c:v>7.6479815808E6</c:v>
                </c:pt>
                <c:pt idx="6">
                  <c:v>8.992499144E6</c:v>
                </c:pt>
                <c:pt idx="7">
                  <c:v>1.01923273488E7</c:v>
                </c:pt>
                <c:pt idx="8">
                  <c:v>1.13926046336E7</c:v>
                </c:pt>
                <c:pt idx="9">
                  <c:v>1.2408565104E7</c:v>
                </c:pt>
                <c:pt idx="10">
                  <c:v>1.3773984048E7</c:v>
                </c:pt>
                <c:pt idx="11">
                  <c:v>1.49488642912E7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'Month S&amp;P'!$EX$2</c:f>
              <c:strCache>
                <c:ptCount val="1"/>
                <c:pt idx="0">
                  <c:v>1997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S&amp;P'!$EX$3:$EX$14</c:f>
              <c:numCache>
                <c:formatCode>#,##0_);[Red]\(#,##0\)</c:formatCode>
                <c:ptCount val="12"/>
                <c:pt idx="0">
                  <c:v>1.054242728E6</c:v>
                </c:pt>
                <c:pt idx="1">
                  <c:v>2.118382018E6</c:v>
                </c:pt>
                <c:pt idx="2">
                  <c:v>3.150662488E6</c:v>
                </c:pt>
                <c:pt idx="3">
                  <c:v>4.008204331E6</c:v>
                </c:pt>
                <c:pt idx="4">
                  <c:v>5.089288268E6</c:v>
                </c:pt>
                <c:pt idx="5">
                  <c:v>6.038753564E6</c:v>
                </c:pt>
                <c:pt idx="6">
                  <c:v>7.194814461E6</c:v>
                </c:pt>
                <c:pt idx="7">
                  <c:v>8.248676188E6</c:v>
                </c:pt>
                <c:pt idx="8">
                  <c:v>9.480955068E6</c:v>
                </c:pt>
                <c:pt idx="9">
                  <c:v>1.0742232858E7</c:v>
                </c:pt>
                <c:pt idx="10">
                  <c:v>1.1895092708E7</c:v>
                </c:pt>
                <c:pt idx="11">
                  <c:v>1.3107209708E7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'Month S&amp;P'!$EZ$2</c:f>
              <c:strCache>
                <c:ptCount val="1"/>
                <c:pt idx="0">
                  <c:v>1999</c:v>
                </c:pt>
              </c:strCache>
            </c:strRef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S&amp;P'!$EZ$3:$EZ$14</c:f>
              <c:numCache>
                <c:formatCode>#,##0_);[Red]\(#,##0\)</c:formatCode>
                <c:ptCount val="12"/>
                <c:pt idx="0">
                  <c:v>937507.0</c:v>
                </c:pt>
                <c:pt idx="1">
                  <c:v>1.723226E6</c:v>
                </c:pt>
                <c:pt idx="2">
                  <c:v>2.941414E6</c:v>
                </c:pt>
                <c:pt idx="3">
                  <c:v>3.88382E6</c:v>
                </c:pt>
                <c:pt idx="4">
                  <c:v>4.917523E6</c:v>
                </c:pt>
                <c:pt idx="5">
                  <c:v>5.846748E6</c:v>
                </c:pt>
                <c:pt idx="6">
                  <c:v>6.859323E6</c:v>
                </c:pt>
                <c:pt idx="7">
                  <c:v>7.781846E6</c:v>
                </c:pt>
                <c:pt idx="8">
                  <c:v>8.845995E6</c:v>
                </c:pt>
                <c:pt idx="9">
                  <c:v>9.703402E6</c:v>
                </c:pt>
                <c:pt idx="10">
                  <c:v>1.0761273E7</c:v>
                </c:pt>
                <c:pt idx="11">
                  <c:v>1.1941453E7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'Month S&amp;P'!$EY$2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S&amp;P'!$EY$3:$EY$14</c:f>
              <c:numCache>
                <c:formatCode>#,##0_);[Red]\(#,##0\)</c:formatCode>
                <c:ptCount val="12"/>
                <c:pt idx="0">
                  <c:v>949412.0</c:v>
                </c:pt>
                <c:pt idx="1">
                  <c:v>1.811111E6</c:v>
                </c:pt>
                <c:pt idx="2">
                  <c:v>2.926881E6</c:v>
                </c:pt>
                <c:pt idx="3">
                  <c:v>3.872373E6</c:v>
                </c:pt>
                <c:pt idx="4">
                  <c:v>4.758159E6</c:v>
                </c:pt>
                <c:pt idx="5">
                  <c:v>5.804459E6</c:v>
                </c:pt>
                <c:pt idx="6">
                  <c:v>6.803213E6</c:v>
                </c:pt>
                <c:pt idx="7">
                  <c:v>7.729511E6</c:v>
                </c:pt>
                <c:pt idx="8">
                  <c:v>8.558287E6</c:v>
                </c:pt>
                <c:pt idx="9">
                  <c:v>9.601178E6</c:v>
                </c:pt>
                <c:pt idx="10">
                  <c:v>1.0614825E7</c:v>
                </c:pt>
                <c:pt idx="11">
                  <c:v>1.1627438E7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'Month S&amp;P'!$FB$2</c:f>
              <c:strCache>
                <c:ptCount val="1"/>
                <c:pt idx="0">
                  <c:v>2001</c:v>
                </c:pt>
              </c:strCache>
            </c:strRef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x"/>
            <c:size val="12"/>
            <c:spPr>
              <a:solidFill>
                <a:srgbClr val="1FB714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S&amp;P'!$FB$3:$FB$14</c:f>
              <c:numCache>
                <c:formatCode>#,##0_);[Red]\(#,##0\)</c:formatCode>
                <c:ptCount val="12"/>
                <c:pt idx="0">
                  <c:v>943150.0</c:v>
                </c:pt>
                <c:pt idx="1">
                  <c:v>2.184951E6</c:v>
                </c:pt>
                <c:pt idx="2">
                  <c:v>3.45965E6</c:v>
                </c:pt>
                <c:pt idx="3">
                  <c:v>5.047321E6</c:v>
                </c:pt>
                <c:pt idx="4">
                  <c:v>6.628628E6</c:v>
                </c:pt>
                <c:pt idx="5">
                  <c:v>8.199024E6</c:v>
                </c:pt>
                <c:pt idx="6">
                  <c:v>9.447112E6</c:v>
                </c:pt>
                <c:pt idx="7">
                  <c:v>1.0832042E7</c:v>
                </c:pt>
                <c:pt idx="8">
                  <c:v>1.1998597E7</c:v>
                </c:pt>
                <c:pt idx="9">
                  <c:v>1.3826472E7</c:v>
                </c:pt>
                <c:pt idx="10">
                  <c:v>1.4993755E7</c:v>
                </c:pt>
                <c:pt idx="11">
                  <c:v>1.6242419E7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'Month S&amp;P'!$FA$2</c:f>
              <c:strCache>
                <c:ptCount val="1"/>
                <c:pt idx="0">
                  <c:v>2000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cat>
            <c:strRef>
              <c:f>'Month S&amp;P'!$EN$3:$EN$14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S&amp;P'!$FA$3:$FA$14</c:f>
              <c:numCache>
                <c:formatCode>#,##0_);[Red]\(#,##0\)</c:formatCode>
                <c:ptCount val="12"/>
                <c:pt idx="0">
                  <c:v>911246.0</c:v>
                </c:pt>
                <c:pt idx="1">
                  <c:v>1.853493E6</c:v>
                </c:pt>
                <c:pt idx="2">
                  <c:v>3.027293E6</c:v>
                </c:pt>
                <c:pt idx="3">
                  <c:v>3.906545E6</c:v>
                </c:pt>
                <c:pt idx="4">
                  <c:v>5.325097E6</c:v>
                </c:pt>
                <c:pt idx="5">
                  <c:v>6.58876E6</c:v>
                </c:pt>
                <c:pt idx="6">
                  <c:v>7.707247E6</c:v>
                </c:pt>
                <c:pt idx="7">
                  <c:v>8.898913E6</c:v>
                </c:pt>
                <c:pt idx="8">
                  <c:v>1.0147757E7</c:v>
                </c:pt>
                <c:pt idx="9">
                  <c:v>1.1306288E7</c:v>
                </c:pt>
                <c:pt idx="10">
                  <c:v>1.2273426E7</c:v>
                </c:pt>
                <c:pt idx="11">
                  <c:v>1.3491594E7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7122472"/>
        <c:axId val="-2057117176"/>
      </c:lineChart>
      <c:catAx>
        <c:axId val="-2057122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71171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57117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712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0493218546028814"/>
          <c:y val="0.652913975509445"/>
          <c:w val="0.19975351114167"/>
          <c:h val="0.342233719504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75" t="1.0" header="0.5" footer="0.5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"Sales by Month   "</a:t>
            </a:r>
          </a:p>
        </c:rich>
      </c:tx>
      <c:layout>
        <c:manualLayout>
          <c:xMode val="edge"/>
          <c:yMode val="edge"/>
          <c:x val="0.448763589633376"/>
          <c:y val="0.03154581421086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06714314383269"/>
          <c:y val="0.170347396738674"/>
          <c:w val="0.919612001591229"/>
          <c:h val="0.65615293558600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movingAvg"/>
            <c:period val="6"/>
            <c:dispRSqr val="0"/>
            <c:dispEq val="0"/>
          </c:trendline>
          <c:cat>
            <c:strRef>
              <c:f>'Month S&amp;P'!$A$3:$A$326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S&amp;P'!$R$3:$R$326</c:f>
              <c:numCache>
                <c:formatCode>#,##0_);[Red]\(#,##0\)</c:formatCode>
                <c:ptCount val="324"/>
                <c:pt idx="0">
                  <c:v>346277.0</c:v>
                </c:pt>
                <c:pt idx="1">
                  <c:v>403848.0</c:v>
                </c:pt>
                <c:pt idx="2">
                  <c:v>338381.0</c:v>
                </c:pt>
                <c:pt idx="3">
                  <c:v>355119.0</c:v>
                </c:pt>
                <c:pt idx="4">
                  <c:v>280552.0</c:v>
                </c:pt>
                <c:pt idx="5">
                  <c:v>551008.0</c:v>
                </c:pt>
                <c:pt idx="6">
                  <c:v>668978.0</c:v>
                </c:pt>
                <c:pt idx="7">
                  <c:v>641074.0</c:v>
                </c:pt>
                <c:pt idx="8">
                  <c:v>608257.0</c:v>
                </c:pt>
                <c:pt idx="9">
                  <c:v>630745.0</c:v>
                </c:pt>
                <c:pt idx="10">
                  <c:v>445415.0</c:v>
                </c:pt>
                <c:pt idx="11">
                  <c:v>577807.0</c:v>
                </c:pt>
                <c:pt idx="12">
                  <c:v>429371.0</c:v>
                </c:pt>
                <c:pt idx="13">
                  <c:v>405501.72</c:v>
                </c:pt>
                <c:pt idx="14">
                  <c:v>390289.0</c:v>
                </c:pt>
                <c:pt idx="15">
                  <c:v>322096.0</c:v>
                </c:pt>
                <c:pt idx="16">
                  <c:v>685017.0</c:v>
                </c:pt>
                <c:pt idx="17">
                  <c:v>861448.0</c:v>
                </c:pt>
                <c:pt idx="18">
                  <c:v>681074.0</c:v>
                </c:pt>
                <c:pt idx="19">
                  <c:v>817046.0</c:v>
                </c:pt>
                <c:pt idx="20">
                  <c:v>867811.0</c:v>
                </c:pt>
                <c:pt idx="21">
                  <c:v>815869.0</c:v>
                </c:pt>
                <c:pt idx="22">
                  <c:v>853747.0</c:v>
                </c:pt>
                <c:pt idx="23">
                  <c:v>763976.0</c:v>
                </c:pt>
                <c:pt idx="24">
                  <c:v>741407.0</c:v>
                </c:pt>
                <c:pt idx="25">
                  <c:v>504044.0</c:v>
                </c:pt>
                <c:pt idx="26">
                  <c:v>978280.0</c:v>
                </c:pt>
                <c:pt idx="27">
                  <c:v>878015.0</c:v>
                </c:pt>
                <c:pt idx="28">
                  <c:v>819672.0</c:v>
                </c:pt>
                <c:pt idx="29">
                  <c:v>1.067844E6</c:v>
                </c:pt>
                <c:pt idx="30">
                  <c:v>967042.0</c:v>
                </c:pt>
                <c:pt idx="31">
                  <c:v>1.074697E6</c:v>
                </c:pt>
                <c:pt idx="32">
                  <c:v>1.081792E6</c:v>
                </c:pt>
                <c:pt idx="33">
                  <c:v>950022.0</c:v>
                </c:pt>
                <c:pt idx="34">
                  <c:v>792560.0</c:v>
                </c:pt>
                <c:pt idx="35">
                  <c:v>912067.0</c:v>
                </c:pt>
                <c:pt idx="36">
                  <c:v>720116.0</c:v>
                </c:pt>
                <c:pt idx="37">
                  <c:v>855670.0</c:v>
                </c:pt>
                <c:pt idx="38">
                  <c:v>1.076054E6</c:v>
                </c:pt>
                <c:pt idx="39">
                  <c:v>1.014512E6</c:v>
                </c:pt>
                <c:pt idx="40">
                  <c:v>1.244896E6</c:v>
                </c:pt>
                <c:pt idx="41">
                  <c:v>1.000425E6</c:v>
                </c:pt>
                <c:pt idx="42">
                  <c:v>1.016436E6</c:v>
                </c:pt>
                <c:pt idx="43">
                  <c:v>1.172276E6</c:v>
                </c:pt>
                <c:pt idx="44">
                  <c:v>1.811669E6</c:v>
                </c:pt>
                <c:pt idx="45">
                  <c:v>1.551438E6</c:v>
                </c:pt>
                <c:pt idx="46">
                  <c:v>1.72345E6</c:v>
                </c:pt>
                <c:pt idx="47">
                  <c:v>1.596316E6</c:v>
                </c:pt>
                <c:pt idx="48">
                  <c:v>1.016229E6</c:v>
                </c:pt>
                <c:pt idx="49">
                  <c:v>941820.0</c:v>
                </c:pt>
                <c:pt idx="50">
                  <c:v>1.376812E6</c:v>
                </c:pt>
                <c:pt idx="51">
                  <c:v>1.265885E6</c:v>
                </c:pt>
                <c:pt idx="52">
                  <c:v>1.408267E6</c:v>
                </c:pt>
                <c:pt idx="53">
                  <c:v>1.635371E6</c:v>
                </c:pt>
                <c:pt idx="54">
                  <c:v>1.448492E6</c:v>
                </c:pt>
                <c:pt idx="55">
                  <c:v>1.576011E6</c:v>
                </c:pt>
                <c:pt idx="56">
                  <c:v>1.420289E6</c:v>
                </c:pt>
                <c:pt idx="57">
                  <c:v>1.335292E6</c:v>
                </c:pt>
                <c:pt idx="58">
                  <c:v>1.142785E6</c:v>
                </c:pt>
                <c:pt idx="59">
                  <c:v>1.460414E6</c:v>
                </c:pt>
                <c:pt idx="60">
                  <c:v>1.28502E6</c:v>
                </c:pt>
                <c:pt idx="61">
                  <c:v>1.097886E6</c:v>
                </c:pt>
                <c:pt idx="62">
                  <c:v>1.405563E6</c:v>
                </c:pt>
                <c:pt idx="63">
                  <c:v>1.347052E6</c:v>
                </c:pt>
                <c:pt idx="64">
                  <c:v>1.48150315E6</c:v>
                </c:pt>
                <c:pt idx="65">
                  <c:v>1.493154E6</c:v>
                </c:pt>
                <c:pt idx="66">
                  <c:v>1.2476474E6</c:v>
                </c:pt>
                <c:pt idx="67">
                  <c:v>1.243845E6</c:v>
                </c:pt>
                <c:pt idx="68">
                  <c:v>1.2933258E6</c:v>
                </c:pt>
                <c:pt idx="69">
                  <c:v>1.2722098E6</c:v>
                </c:pt>
                <c:pt idx="70">
                  <c:v>1.2772226E6</c:v>
                </c:pt>
                <c:pt idx="71">
                  <c:v>1.2673418E6</c:v>
                </c:pt>
                <c:pt idx="72">
                  <c:v>848032.79</c:v>
                </c:pt>
                <c:pt idx="73">
                  <c:v>1.13982547E6</c:v>
                </c:pt>
                <c:pt idx="74">
                  <c:v>1.5434358E6</c:v>
                </c:pt>
                <c:pt idx="75">
                  <c:v>1.44482816E6</c:v>
                </c:pt>
                <c:pt idx="76">
                  <c:v>1.32347898E6</c:v>
                </c:pt>
                <c:pt idx="77">
                  <c:v>1.89695896E6</c:v>
                </c:pt>
                <c:pt idx="78">
                  <c:v>1.43580579E6</c:v>
                </c:pt>
                <c:pt idx="79">
                  <c:v>1.7244114E6</c:v>
                </c:pt>
                <c:pt idx="80">
                  <c:v>1.7520814E6</c:v>
                </c:pt>
                <c:pt idx="81">
                  <c:v>1.814872E6</c:v>
                </c:pt>
                <c:pt idx="82">
                  <c:v>1.97663E6</c:v>
                </c:pt>
                <c:pt idx="83">
                  <c:v>1.657065E6</c:v>
                </c:pt>
                <c:pt idx="84">
                  <c:v>1.0250762388E6</c:v>
                </c:pt>
                <c:pt idx="85">
                  <c:v>1.4127394192E6</c:v>
                </c:pt>
                <c:pt idx="86">
                  <c:v>1.6263148704E6</c:v>
                </c:pt>
                <c:pt idx="87">
                  <c:v>1.2821642748E6</c:v>
                </c:pt>
                <c:pt idx="88">
                  <c:v>1.367772806E6</c:v>
                </c:pt>
                <c:pt idx="89">
                  <c:v>1.5469185204E6</c:v>
                </c:pt>
                <c:pt idx="90">
                  <c:v>1.3672326524E6</c:v>
                </c:pt>
                <c:pt idx="91">
                  <c:v>1.6347336044E6</c:v>
                </c:pt>
                <c:pt idx="92">
                  <c:v>1.2594651196E6</c:v>
                </c:pt>
                <c:pt idx="93">
                  <c:v>1.2352324664E6</c:v>
                </c:pt>
                <c:pt idx="94">
                  <c:v>1.5835537136E6</c:v>
                </c:pt>
                <c:pt idx="95">
                  <c:v>1.1596543356E6</c:v>
                </c:pt>
                <c:pt idx="96">
                  <c:v>1.030179048E6</c:v>
                </c:pt>
                <c:pt idx="97">
                  <c:v>1.3826848384E6</c:v>
                </c:pt>
                <c:pt idx="98">
                  <c:v>1.0380910688E6</c:v>
                </c:pt>
                <c:pt idx="99">
                  <c:v>1.198156024E6</c:v>
                </c:pt>
                <c:pt idx="100">
                  <c:v>1.5049908208E6</c:v>
                </c:pt>
                <c:pt idx="101">
                  <c:v>1.4938797808E6</c:v>
                </c:pt>
                <c:pt idx="102">
                  <c:v>1.3445175632E6</c:v>
                </c:pt>
                <c:pt idx="103">
                  <c:v>1.1998282048E6</c:v>
                </c:pt>
                <c:pt idx="104">
                  <c:v>1.2002772848E6</c:v>
                </c:pt>
                <c:pt idx="105">
                  <c:v>1.0159604704E6</c:v>
                </c:pt>
                <c:pt idx="106">
                  <c:v>1.365418944E6</c:v>
                </c:pt>
                <c:pt idx="107">
                  <c:v>1.1748802432E6</c:v>
                </c:pt>
                <c:pt idx="108">
                  <c:v>1.052245728E6</c:v>
                </c:pt>
                <c:pt idx="109">
                  <c:v>1.06413929E6</c:v>
                </c:pt>
                <c:pt idx="110">
                  <c:v>1.03228047E6</c:v>
                </c:pt>
                <c:pt idx="111">
                  <c:v>857541.843</c:v>
                </c:pt>
                <c:pt idx="112">
                  <c:v>1.081083937E6</c:v>
                </c:pt>
                <c:pt idx="113">
                  <c:v>949465.2960000001</c:v>
                </c:pt>
                <c:pt idx="114">
                  <c:v>1.156060897E6</c:v>
                </c:pt>
                <c:pt idx="115">
                  <c:v>1.053861727E6</c:v>
                </c:pt>
                <c:pt idx="116">
                  <c:v>1.23227888E6</c:v>
                </c:pt>
                <c:pt idx="117">
                  <c:v>1.26127779E6</c:v>
                </c:pt>
                <c:pt idx="118">
                  <c:v>1.15285985E6</c:v>
                </c:pt>
                <c:pt idx="119">
                  <c:v>1.212117E6</c:v>
                </c:pt>
                <c:pt idx="120">
                  <c:v>947414.0</c:v>
                </c:pt>
                <c:pt idx="121">
                  <c:v>861699.0</c:v>
                </c:pt>
                <c:pt idx="122">
                  <c:v>1.11577E6</c:v>
                </c:pt>
                <c:pt idx="123">
                  <c:v>945492.0</c:v>
                </c:pt>
                <c:pt idx="124">
                  <c:v>885786.0</c:v>
                </c:pt>
                <c:pt idx="125">
                  <c:v>1.0463E6</c:v>
                </c:pt>
                <c:pt idx="126">
                  <c:v>998754.0</c:v>
                </c:pt>
                <c:pt idx="127">
                  <c:v>926298.0</c:v>
                </c:pt>
                <c:pt idx="128">
                  <c:v>828776.0</c:v>
                </c:pt>
                <c:pt idx="129">
                  <c:v>1.042891E6</c:v>
                </c:pt>
                <c:pt idx="130">
                  <c:v>1.013647E6</c:v>
                </c:pt>
                <c:pt idx="131">
                  <c:v>1.012613E6</c:v>
                </c:pt>
                <c:pt idx="132">
                  <c:v>935508.0</c:v>
                </c:pt>
                <c:pt idx="133">
                  <c:v>785719.0</c:v>
                </c:pt>
                <c:pt idx="134">
                  <c:v>1.218188E6</c:v>
                </c:pt>
                <c:pt idx="135">
                  <c:v>942406.0</c:v>
                </c:pt>
                <c:pt idx="136">
                  <c:v>1.033703E6</c:v>
                </c:pt>
                <c:pt idx="137">
                  <c:v>929225.0</c:v>
                </c:pt>
                <c:pt idx="138">
                  <c:v>1.012575E6</c:v>
                </c:pt>
                <c:pt idx="139">
                  <c:v>922523.0</c:v>
                </c:pt>
                <c:pt idx="140">
                  <c:v>1.064149E6</c:v>
                </c:pt>
                <c:pt idx="141">
                  <c:v>857407.0</c:v>
                </c:pt>
                <c:pt idx="142">
                  <c:v>1.057871E6</c:v>
                </c:pt>
                <c:pt idx="143">
                  <c:v>1.18018E6</c:v>
                </c:pt>
                <c:pt idx="144">
                  <c:v>909246.0</c:v>
                </c:pt>
                <c:pt idx="145">
                  <c:v>942247.0</c:v>
                </c:pt>
                <c:pt idx="146">
                  <c:v>1.1738E6</c:v>
                </c:pt>
                <c:pt idx="147">
                  <c:v>879252.0</c:v>
                </c:pt>
                <c:pt idx="148">
                  <c:v>1.418552E6</c:v>
                </c:pt>
                <c:pt idx="149">
                  <c:v>1.263663E6</c:v>
                </c:pt>
                <c:pt idx="150">
                  <c:v>1.118487E6</c:v>
                </c:pt>
                <c:pt idx="151">
                  <c:v>1.191666E6</c:v>
                </c:pt>
                <c:pt idx="152">
                  <c:v>1.248844E6</c:v>
                </c:pt>
                <c:pt idx="153">
                  <c:v>1.158531E6</c:v>
                </c:pt>
                <c:pt idx="154">
                  <c:v>967138.0</c:v>
                </c:pt>
                <c:pt idx="155">
                  <c:v>1.218168E6</c:v>
                </c:pt>
                <c:pt idx="156">
                  <c:v>941149.0</c:v>
                </c:pt>
                <c:pt idx="157">
                  <c:v>1.241801E6</c:v>
                </c:pt>
                <c:pt idx="158">
                  <c:v>1.274699E6</c:v>
                </c:pt>
                <c:pt idx="159">
                  <c:v>1.587671E6</c:v>
                </c:pt>
                <c:pt idx="160">
                  <c:v>1.581307E6</c:v>
                </c:pt>
                <c:pt idx="161">
                  <c:v>1.570396E6</c:v>
                </c:pt>
                <c:pt idx="162">
                  <c:v>1.248088E6</c:v>
                </c:pt>
                <c:pt idx="163">
                  <c:v>1.38493E6</c:v>
                </c:pt>
                <c:pt idx="164">
                  <c:v>1.166555E6</c:v>
                </c:pt>
                <c:pt idx="165">
                  <c:v>1.827875E6</c:v>
                </c:pt>
                <c:pt idx="166">
                  <c:v>1.167283E6</c:v>
                </c:pt>
                <c:pt idx="167">
                  <c:v>1.248664E6</c:v>
                </c:pt>
                <c:pt idx="168">
                  <c:v>882527.0</c:v>
                </c:pt>
                <c:pt idx="169">
                  <c:v>1.073357E6</c:v>
                </c:pt>
                <c:pt idx="170">
                  <c:v>1.706161E6</c:v>
                </c:pt>
                <c:pt idx="171">
                  <c:v>1.233898E6</c:v>
                </c:pt>
                <c:pt idx="172">
                  <c:v>1.537412E6</c:v>
                </c:pt>
                <c:pt idx="173">
                  <c:v>1.292004E6</c:v>
                </c:pt>
                <c:pt idx="174">
                  <c:v>846052.0</c:v>
                </c:pt>
                <c:pt idx="175">
                  <c:v>816063.0</c:v>
                </c:pt>
                <c:pt idx="176">
                  <c:v>1.004315E6</c:v>
                </c:pt>
                <c:pt idx="177">
                  <c:v>1.070589E6</c:v>
                </c:pt>
                <c:pt idx="178">
                  <c:v>1.31328E6</c:v>
                </c:pt>
                <c:pt idx="179">
                  <c:v>1.085253E6</c:v>
                </c:pt>
                <c:pt idx="180">
                  <c:v>700486.0</c:v>
                </c:pt>
                <c:pt idx="181">
                  <c:v>957141.0</c:v>
                </c:pt>
                <c:pt idx="182">
                  <c:v>1.010758E6</c:v>
                </c:pt>
                <c:pt idx="183">
                  <c:v>1.279763E6</c:v>
                </c:pt>
                <c:pt idx="184">
                  <c:v>1.347483E6</c:v>
                </c:pt>
                <c:pt idx="185">
                  <c:v>1.686596E6</c:v>
                </c:pt>
                <c:pt idx="186">
                  <c:v>1.408622E6</c:v>
                </c:pt>
                <c:pt idx="187">
                  <c:v>1.384765E6</c:v>
                </c:pt>
                <c:pt idx="188">
                  <c:v>1.25929E6</c:v>
                </c:pt>
                <c:pt idx="189">
                  <c:v>1.196138E6</c:v>
                </c:pt>
                <c:pt idx="190">
                  <c:v>1.257326E6</c:v>
                </c:pt>
                <c:pt idx="191">
                  <c:v>1.186632E6</c:v>
                </c:pt>
                <c:pt idx="192">
                  <c:v>1.036928E6</c:v>
                </c:pt>
                <c:pt idx="193">
                  <c:v>909860.0</c:v>
                </c:pt>
                <c:pt idx="194">
                  <c:v>1.60324E6</c:v>
                </c:pt>
                <c:pt idx="195">
                  <c:v>1.118864E6</c:v>
                </c:pt>
                <c:pt idx="196">
                  <c:v>1.107311E6</c:v>
                </c:pt>
                <c:pt idx="197">
                  <c:v>1.625491E6</c:v>
                </c:pt>
                <c:pt idx="198">
                  <c:v>1.013194E6</c:v>
                </c:pt>
                <c:pt idx="199">
                  <c:v>1.043654E6</c:v>
                </c:pt>
                <c:pt idx="200">
                  <c:v>1.334438E6</c:v>
                </c:pt>
                <c:pt idx="201">
                  <c:v>1.311722E6</c:v>
                </c:pt>
                <c:pt idx="202">
                  <c:v>894446.0</c:v>
                </c:pt>
                <c:pt idx="203">
                  <c:v>1.010365E6</c:v>
                </c:pt>
                <c:pt idx="204">
                  <c:v>692392.0</c:v>
                </c:pt>
                <c:pt idx="205">
                  <c:v>811487.0</c:v>
                </c:pt>
                <c:pt idx="206">
                  <c:v>1.580258E6</c:v>
                </c:pt>
                <c:pt idx="207">
                  <c:v>1.393723E6</c:v>
                </c:pt>
                <c:pt idx="208">
                  <c:v>1.743022E6</c:v>
                </c:pt>
                <c:pt idx="209">
                  <c:v>1.602908E6</c:v>
                </c:pt>
                <c:pt idx="210">
                  <c:v>1.018459E6</c:v>
                </c:pt>
                <c:pt idx="211">
                  <c:v>1.238279E6</c:v>
                </c:pt>
                <c:pt idx="212">
                  <c:v>1.253392E6</c:v>
                </c:pt>
                <c:pt idx="213">
                  <c:v>1.108342E6</c:v>
                </c:pt>
                <c:pt idx="214">
                  <c:v>1.180779E6</c:v>
                </c:pt>
                <c:pt idx="215">
                  <c:v>1.292775E6</c:v>
                </c:pt>
                <c:pt idx="216">
                  <c:v>991617.0</c:v>
                </c:pt>
                <c:pt idx="217">
                  <c:v>1.357067E6</c:v>
                </c:pt>
                <c:pt idx="218">
                  <c:v>1.491226E6</c:v>
                </c:pt>
                <c:pt idx="219">
                  <c:v>1.312977E6</c:v>
                </c:pt>
                <c:pt idx="220">
                  <c:v>1.701296E6</c:v>
                </c:pt>
                <c:pt idx="221">
                  <c:v>1.569316E6</c:v>
                </c:pt>
                <c:pt idx="222">
                  <c:v>1.318819E6</c:v>
                </c:pt>
                <c:pt idx="223">
                  <c:v>1.474138E6</c:v>
                </c:pt>
                <c:pt idx="224">
                  <c:v>1.306194E6</c:v>
                </c:pt>
                <c:pt idx="225">
                  <c:v>1.51481E6</c:v>
                </c:pt>
                <c:pt idx="226">
                  <c:v>1.62294E6</c:v>
                </c:pt>
                <c:pt idx="227">
                  <c:v>1.381548E6</c:v>
                </c:pt>
                <c:pt idx="228">
                  <c:v>1.012893E6</c:v>
                </c:pt>
                <c:pt idx="229">
                  <c:v>1.032371E6</c:v>
                </c:pt>
                <c:pt idx="230">
                  <c:v>1.438826E6</c:v>
                </c:pt>
                <c:pt idx="231">
                  <c:v>1.677345E6</c:v>
                </c:pt>
                <c:pt idx="232">
                  <c:v>1.762052E6</c:v>
                </c:pt>
                <c:pt idx="233">
                  <c:v>2.30433E6</c:v>
                </c:pt>
                <c:pt idx="234">
                  <c:v>1.828259E6</c:v>
                </c:pt>
                <c:pt idx="235">
                  <c:v>1.806018E6</c:v>
                </c:pt>
                <c:pt idx="236">
                  <c:v>1.765807E6</c:v>
                </c:pt>
                <c:pt idx="237">
                  <c:v>1.890034E6</c:v>
                </c:pt>
                <c:pt idx="238">
                  <c:v>1.658112E6</c:v>
                </c:pt>
                <c:pt idx="239">
                  <c:v>2.225883E6</c:v>
                </c:pt>
                <c:pt idx="240">
                  <c:v>1.444774E6</c:v>
                </c:pt>
                <c:pt idx="241">
                  <c:v>1.672737E6</c:v>
                </c:pt>
                <c:pt idx="242">
                  <c:v>1.683301E6</c:v>
                </c:pt>
                <c:pt idx="243">
                  <c:v>2.153669E6</c:v>
                </c:pt>
                <c:pt idx="244">
                  <c:v>2.494703E6</c:v>
                </c:pt>
                <c:pt idx="245">
                  <c:v>2.9231E6</c:v>
                </c:pt>
                <c:pt idx="246">
                  <c:v>2.615911E6</c:v>
                </c:pt>
                <c:pt idx="247">
                  <c:v>2.459366E6</c:v>
                </c:pt>
                <c:pt idx="248">
                  <c:v>2.446219E6</c:v>
                </c:pt>
                <c:pt idx="249">
                  <c:v>2.676993E6</c:v>
                </c:pt>
                <c:pt idx="250">
                  <c:v>1.992999E6</c:v>
                </c:pt>
                <c:pt idx="251">
                  <c:v>2.39492E6</c:v>
                </c:pt>
                <c:pt idx="252">
                  <c:v>1.360922E6</c:v>
                </c:pt>
                <c:pt idx="253">
                  <c:v>1.732312E6</c:v>
                </c:pt>
                <c:pt idx="254">
                  <c:v>1.941347E6</c:v>
                </c:pt>
                <c:pt idx="255">
                  <c:v>1.695114E6</c:v>
                </c:pt>
                <c:pt idx="256">
                  <c:v>1.645165E6</c:v>
                </c:pt>
                <c:pt idx="257">
                  <c:v>1.895115E6</c:v>
                </c:pt>
                <c:pt idx="258">
                  <c:v>1.866935E6</c:v>
                </c:pt>
                <c:pt idx="259">
                  <c:v>2.111874E6</c:v>
                </c:pt>
                <c:pt idx="260">
                  <c:v>1.784021E6</c:v>
                </c:pt>
                <c:pt idx="261">
                  <c:v>1.730173E6</c:v>
                </c:pt>
                <c:pt idx="262">
                  <c:v>1.582971E6</c:v>
                </c:pt>
                <c:pt idx="263">
                  <c:v>1.723064E6</c:v>
                </c:pt>
                <c:pt idx="264">
                  <c:v>1.068538E6</c:v>
                </c:pt>
                <c:pt idx="265">
                  <c:v>1.312118E6</c:v>
                </c:pt>
                <c:pt idx="266">
                  <c:v>1.449024E6</c:v>
                </c:pt>
                <c:pt idx="267">
                  <c:v>2.439492E6</c:v>
                </c:pt>
                <c:pt idx="268">
                  <c:v>2.571487E6</c:v>
                </c:pt>
                <c:pt idx="269">
                  <c:v>2.591287E6</c:v>
                </c:pt>
                <c:pt idx="270">
                  <c:v>2.053084E6</c:v>
                </c:pt>
                <c:pt idx="271">
                  <c:v>2.079675E6</c:v>
                </c:pt>
                <c:pt idx="272">
                  <c:v>2.100245E6</c:v>
                </c:pt>
                <c:pt idx="273">
                  <c:v>1.77422E6</c:v>
                </c:pt>
                <c:pt idx="274">
                  <c:v>1.78461E6</c:v>
                </c:pt>
                <c:pt idx="275">
                  <c:v>2.312266E6</c:v>
                </c:pt>
                <c:pt idx="276">
                  <c:v>1.360922E6</c:v>
                </c:pt>
                <c:pt idx="277">
                  <c:v>1.732312E6</c:v>
                </c:pt>
                <c:pt idx="278">
                  <c:v>1.941347E6</c:v>
                </c:pt>
                <c:pt idx="279">
                  <c:v>1.695114E6</c:v>
                </c:pt>
                <c:pt idx="280">
                  <c:v>1.645165E6</c:v>
                </c:pt>
                <c:pt idx="281">
                  <c:v>1.895115E6</c:v>
                </c:pt>
                <c:pt idx="282">
                  <c:v>1.866935E6</c:v>
                </c:pt>
                <c:pt idx="283">
                  <c:v>2.111874E6</c:v>
                </c:pt>
                <c:pt idx="284">
                  <c:v>1.784021E6</c:v>
                </c:pt>
                <c:pt idx="285">
                  <c:v>1.730173E6</c:v>
                </c:pt>
                <c:pt idx="286">
                  <c:v>1.582971E6</c:v>
                </c:pt>
                <c:pt idx="287">
                  <c:v>1.723064E6</c:v>
                </c:pt>
                <c:pt idx="288">
                  <c:v>1.068538E6</c:v>
                </c:pt>
                <c:pt idx="289">
                  <c:v>1.312118E6</c:v>
                </c:pt>
                <c:pt idx="290">
                  <c:v>1.449024E6</c:v>
                </c:pt>
                <c:pt idx="291">
                  <c:v>2.439492E6</c:v>
                </c:pt>
                <c:pt idx="292">
                  <c:v>2.571487E6</c:v>
                </c:pt>
                <c:pt idx="293">
                  <c:v>2.591287E6</c:v>
                </c:pt>
                <c:pt idx="294">
                  <c:v>2.053084E6</c:v>
                </c:pt>
                <c:pt idx="295">
                  <c:v>2.079675E6</c:v>
                </c:pt>
                <c:pt idx="296">
                  <c:v>2.100245E6</c:v>
                </c:pt>
                <c:pt idx="297">
                  <c:v>1.77422E6</c:v>
                </c:pt>
                <c:pt idx="298">
                  <c:v>1.78461E6</c:v>
                </c:pt>
                <c:pt idx="299">
                  <c:v>2.312266E6</c:v>
                </c:pt>
                <c:pt idx="300">
                  <c:v>1.492295E6</c:v>
                </c:pt>
                <c:pt idx="301">
                  <c:v>1.626785E6</c:v>
                </c:pt>
                <c:pt idx="302">
                  <c:v>2.143503E6</c:v>
                </c:pt>
                <c:pt idx="303">
                  <c:v>2.096592E6</c:v>
                </c:pt>
                <c:pt idx="304">
                  <c:v>2.613935E6</c:v>
                </c:pt>
                <c:pt idx="305">
                  <c:v>2.448192E6</c:v>
                </c:pt>
                <c:pt idx="306">
                  <c:v>2.048726E6</c:v>
                </c:pt>
                <c:pt idx="307">
                  <c:v>2.378711E6</c:v>
                </c:pt>
                <c:pt idx="308">
                  <c:v>2.089714E6</c:v>
                </c:pt>
                <c:pt idx="309">
                  <c:v>2.065254E6</c:v>
                </c:pt>
                <c:pt idx="310">
                  <c:v>2.022838E6</c:v>
                </c:pt>
                <c:pt idx="311">
                  <c:v>1.958823E6</c:v>
                </c:pt>
                <c:pt idx="314">
                  <c:v>1.09748303273247E6</c:v>
                </c:pt>
                <c:pt idx="315" formatCode="General">
                  <c:v>0.0</c:v>
                </c:pt>
                <c:pt idx="318">
                  <c:v>992762.25</c:v>
                </c:pt>
                <c:pt idx="322">
                  <c:v>0.0</c:v>
                </c:pt>
                <c:pt idx="323">
                  <c:v>474015.2916529132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6770392"/>
        <c:axId val="-2056767112"/>
      </c:lineChart>
      <c:catAx>
        <c:axId val="-2056770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6767112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-2056767112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677039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05" t="1.0" header="0.5" footer="0.5"/>
    <c:pageSetup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Monthly Profit 1988 - Present  -</a:t>
            </a:r>
          </a:p>
        </c:rich>
      </c:tx>
      <c:layout>
        <c:manualLayout>
          <c:xMode val="edge"/>
          <c:yMode val="edge"/>
          <c:x val="0.463215280866031"/>
          <c:y val="0.025906779446613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9972753467802"/>
          <c:y val="0.0552677961527758"/>
          <c:w val="0.962631419816551"/>
          <c:h val="0.85665084036802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DD080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'Month S&amp;P'!$A$3:$A$319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S&amp;P'!$C$3:$C$319</c:f>
              <c:numCache>
                <c:formatCode>#,##0_);[Red]\(#,##0\)</c:formatCode>
                <c:ptCount val="317"/>
                <c:pt idx="0">
                  <c:v>14000.0</c:v>
                </c:pt>
                <c:pt idx="1">
                  <c:v>116098.0</c:v>
                </c:pt>
                <c:pt idx="2">
                  <c:v>5893.0</c:v>
                </c:pt>
                <c:pt idx="3">
                  <c:v>-114042.0</c:v>
                </c:pt>
                <c:pt idx="4">
                  <c:v>23933.0</c:v>
                </c:pt>
                <c:pt idx="5">
                  <c:v>125692.0</c:v>
                </c:pt>
                <c:pt idx="6">
                  <c:v>245285.0</c:v>
                </c:pt>
                <c:pt idx="7">
                  <c:v>137223.0</c:v>
                </c:pt>
                <c:pt idx="8">
                  <c:v>208268.0</c:v>
                </c:pt>
                <c:pt idx="9">
                  <c:v>114416.0</c:v>
                </c:pt>
                <c:pt idx="10">
                  <c:v>-3018.0</c:v>
                </c:pt>
                <c:pt idx="11">
                  <c:v>-235946.0</c:v>
                </c:pt>
                <c:pt idx="12">
                  <c:v>23394.0</c:v>
                </c:pt>
                <c:pt idx="13">
                  <c:v>-95212.0</c:v>
                </c:pt>
                <c:pt idx="14">
                  <c:v>-54312.0</c:v>
                </c:pt>
                <c:pt idx="15">
                  <c:v>-108257.0</c:v>
                </c:pt>
                <c:pt idx="16">
                  <c:v>152548.0</c:v>
                </c:pt>
                <c:pt idx="17">
                  <c:v>171849.0</c:v>
                </c:pt>
                <c:pt idx="18">
                  <c:v>75078.0</c:v>
                </c:pt>
                <c:pt idx="19">
                  <c:v>104270.0</c:v>
                </c:pt>
                <c:pt idx="20">
                  <c:v>177097.0</c:v>
                </c:pt>
                <c:pt idx="21">
                  <c:v>124733.0</c:v>
                </c:pt>
                <c:pt idx="22">
                  <c:v>98095.0</c:v>
                </c:pt>
                <c:pt idx="23">
                  <c:v>32694.0</c:v>
                </c:pt>
                <c:pt idx="24">
                  <c:v>97062.0</c:v>
                </c:pt>
                <c:pt idx="25">
                  <c:v>-132682.0</c:v>
                </c:pt>
                <c:pt idx="26">
                  <c:v>251478.0</c:v>
                </c:pt>
                <c:pt idx="27">
                  <c:v>37800.0</c:v>
                </c:pt>
                <c:pt idx="28">
                  <c:v>16503.0</c:v>
                </c:pt>
                <c:pt idx="29">
                  <c:v>135554.0</c:v>
                </c:pt>
                <c:pt idx="30">
                  <c:v>121961.0</c:v>
                </c:pt>
                <c:pt idx="31">
                  <c:v>141798.0</c:v>
                </c:pt>
                <c:pt idx="32">
                  <c:v>231306.0</c:v>
                </c:pt>
                <c:pt idx="33">
                  <c:v>-37216.0</c:v>
                </c:pt>
                <c:pt idx="34">
                  <c:v>-112887.0</c:v>
                </c:pt>
                <c:pt idx="35">
                  <c:v>-43418.0</c:v>
                </c:pt>
                <c:pt idx="36">
                  <c:v>-275901.0</c:v>
                </c:pt>
                <c:pt idx="37">
                  <c:v>-106520.0</c:v>
                </c:pt>
                <c:pt idx="38">
                  <c:v>-60644.0</c:v>
                </c:pt>
                <c:pt idx="39">
                  <c:v>73341.0</c:v>
                </c:pt>
                <c:pt idx="40">
                  <c:v>184099.0</c:v>
                </c:pt>
                <c:pt idx="41">
                  <c:v>101907.0</c:v>
                </c:pt>
                <c:pt idx="42">
                  <c:v>145273.0</c:v>
                </c:pt>
                <c:pt idx="43">
                  <c:v>116123.0</c:v>
                </c:pt>
                <c:pt idx="44">
                  <c:v>118297.0</c:v>
                </c:pt>
                <c:pt idx="45">
                  <c:v>286313.0</c:v>
                </c:pt>
                <c:pt idx="46">
                  <c:v>280766.0</c:v>
                </c:pt>
                <c:pt idx="47">
                  <c:v>193079.0</c:v>
                </c:pt>
                <c:pt idx="48">
                  <c:v>46377.0</c:v>
                </c:pt>
                <c:pt idx="49">
                  <c:v>-79752.0</c:v>
                </c:pt>
                <c:pt idx="50">
                  <c:v>66604.0</c:v>
                </c:pt>
                <c:pt idx="51">
                  <c:v>26755.0</c:v>
                </c:pt>
                <c:pt idx="52">
                  <c:v>158737.0</c:v>
                </c:pt>
                <c:pt idx="53">
                  <c:v>113724.0</c:v>
                </c:pt>
                <c:pt idx="54">
                  <c:v>305512.0</c:v>
                </c:pt>
                <c:pt idx="55">
                  <c:v>78633.0</c:v>
                </c:pt>
                <c:pt idx="56">
                  <c:v>45320.0</c:v>
                </c:pt>
                <c:pt idx="57">
                  <c:v>1552.0</c:v>
                </c:pt>
                <c:pt idx="58">
                  <c:v>-302798.0</c:v>
                </c:pt>
                <c:pt idx="59">
                  <c:v>-438664.0</c:v>
                </c:pt>
                <c:pt idx="60">
                  <c:v>38218.0</c:v>
                </c:pt>
                <c:pt idx="61">
                  <c:v>-150000.0</c:v>
                </c:pt>
                <c:pt idx="62">
                  <c:v>52176.0</c:v>
                </c:pt>
                <c:pt idx="63">
                  <c:v>82001.0</c:v>
                </c:pt>
                <c:pt idx="64">
                  <c:v>135899.53</c:v>
                </c:pt>
                <c:pt idx="65">
                  <c:v>178089.76</c:v>
                </c:pt>
                <c:pt idx="66">
                  <c:v>-52693.0</c:v>
                </c:pt>
                <c:pt idx="67">
                  <c:v>32240.0</c:v>
                </c:pt>
                <c:pt idx="68">
                  <c:v>33904.41</c:v>
                </c:pt>
                <c:pt idx="69">
                  <c:v>78275.0</c:v>
                </c:pt>
                <c:pt idx="70">
                  <c:v>190541.13</c:v>
                </c:pt>
                <c:pt idx="71">
                  <c:v>11662.31</c:v>
                </c:pt>
                <c:pt idx="72">
                  <c:v>-277738.0</c:v>
                </c:pt>
                <c:pt idx="73">
                  <c:v>-155341.33</c:v>
                </c:pt>
                <c:pt idx="74">
                  <c:v>102522.0</c:v>
                </c:pt>
                <c:pt idx="75">
                  <c:v>-35453.0</c:v>
                </c:pt>
                <c:pt idx="76">
                  <c:v>-166479.47</c:v>
                </c:pt>
                <c:pt idx="77">
                  <c:v>332775.68</c:v>
                </c:pt>
                <c:pt idx="78">
                  <c:v>-117540.0</c:v>
                </c:pt>
                <c:pt idx="79">
                  <c:v>140168.0</c:v>
                </c:pt>
                <c:pt idx="80">
                  <c:v>218010.0</c:v>
                </c:pt>
                <c:pt idx="81">
                  <c:v>130171.0</c:v>
                </c:pt>
                <c:pt idx="82">
                  <c:v>288722.0</c:v>
                </c:pt>
                <c:pt idx="83">
                  <c:v>-7874.0</c:v>
                </c:pt>
                <c:pt idx="84">
                  <c:v>-284840.614</c:v>
                </c:pt>
                <c:pt idx="85">
                  <c:v>-62046.83</c:v>
                </c:pt>
                <c:pt idx="86">
                  <c:v>-28083.465</c:v>
                </c:pt>
                <c:pt idx="87">
                  <c:v>-230622.7635</c:v>
                </c:pt>
                <c:pt idx="88">
                  <c:v>-129993.926</c:v>
                </c:pt>
                <c:pt idx="89">
                  <c:v>-76671.28</c:v>
                </c:pt>
                <c:pt idx="90">
                  <c:v>-74391.77250000001</c:v>
                </c:pt>
                <c:pt idx="91">
                  <c:v>291550.508</c:v>
                </c:pt>
                <c:pt idx="92">
                  <c:v>39405.046</c:v>
                </c:pt>
                <c:pt idx="93">
                  <c:v>-24267.5635</c:v>
                </c:pt>
                <c:pt idx="94">
                  <c:v>249705.6715</c:v>
                </c:pt>
                <c:pt idx="95">
                  <c:v>-218842.198</c:v>
                </c:pt>
                <c:pt idx="96">
                  <c:v>-163729.002</c:v>
                </c:pt>
                <c:pt idx="97">
                  <c:v>136266.592</c:v>
                </c:pt>
                <c:pt idx="98">
                  <c:v>-238738.992</c:v>
                </c:pt>
                <c:pt idx="99">
                  <c:v>-14044.96000000001</c:v>
                </c:pt>
                <c:pt idx="100">
                  <c:v>167701.12</c:v>
                </c:pt>
                <c:pt idx="101">
                  <c:v>-33528.925</c:v>
                </c:pt>
                <c:pt idx="102">
                  <c:v>-351815.725</c:v>
                </c:pt>
                <c:pt idx="103">
                  <c:v>40817.62500000001</c:v>
                </c:pt>
                <c:pt idx="104">
                  <c:v>90237.44</c:v>
                </c:pt>
                <c:pt idx="105">
                  <c:v>-291622.648</c:v>
                </c:pt>
                <c:pt idx="106">
                  <c:v>169013.232</c:v>
                </c:pt>
                <c:pt idx="107">
                  <c:v>169580.72</c:v>
                </c:pt>
                <c:pt idx="108">
                  <c:v>76783.667</c:v>
                </c:pt>
                <c:pt idx="109">
                  <c:v>7525.821000000001</c:v>
                </c:pt>
                <c:pt idx="110">
                  <c:v>-36.34000000000015</c:v>
                </c:pt>
                <c:pt idx="111">
                  <c:v>-218381.533</c:v>
                </c:pt>
                <c:pt idx="112">
                  <c:v>49673.111</c:v>
                </c:pt>
                <c:pt idx="113">
                  <c:v>-160732.713</c:v>
                </c:pt>
                <c:pt idx="114">
                  <c:v>-94919.121</c:v>
                </c:pt>
                <c:pt idx="115">
                  <c:v>29799.624</c:v>
                </c:pt>
                <c:pt idx="116">
                  <c:v>69082.894</c:v>
                </c:pt>
                <c:pt idx="117">
                  <c:v>183978.493</c:v>
                </c:pt>
                <c:pt idx="118">
                  <c:v>43426.35</c:v>
                </c:pt>
                <c:pt idx="119">
                  <c:v>50042.01</c:v>
                </c:pt>
                <c:pt idx="120">
                  <c:v>82431.0</c:v>
                </c:pt>
                <c:pt idx="121">
                  <c:v>-201020.0</c:v>
                </c:pt>
                <c:pt idx="122">
                  <c:v>-147362.0</c:v>
                </c:pt>
                <c:pt idx="123">
                  <c:v>-35232.0</c:v>
                </c:pt>
                <c:pt idx="124">
                  <c:v>-243329.0</c:v>
                </c:pt>
                <c:pt idx="125">
                  <c:v>-2172.0</c:v>
                </c:pt>
                <c:pt idx="126">
                  <c:v>-35374.0</c:v>
                </c:pt>
                <c:pt idx="127">
                  <c:v>-110384.0</c:v>
                </c:pt>
                <c:pt idx="128">
                  <c:v>-417879.0</c:v>
                </c:pt>
                <c:pt idx="129">
                  <c:v>109414.0</c:v>
                </c:pt>
                <c:pt idx="130">
                  <c:v>147427.0</c:v>
                </c:pt>
                <c:pt idx="131">
                  <c:v>8520.0</c:v>
                </c:pt>
                <c:pt idx="132">
                  <c:v>214483.0</c:v>
                </c:pt>
                <c:pt idx="133">
                  <c:v>-61164.0</c:v>
                </c:pt>
                <c:pt idx="134">
                  <c:v>253193.0</c:v>
                </c:pt>
                <c:pt idx="135">
                  <c:v>51239.0</c:v>
                </c:pt>
                <c:pt idx="136">
                  <c:v>149035.0</c:v>
                </c:pt>
                <c:pt idx="137">
                  <c:v>43197.0</c:v>
                </c:pt>
                <c:pt idx="138">
                  <c:v>180995.0</c:v>
                </c:pt>
                <c:pt idx="139">
                  <c:v>87008.0</c:v>
                </c:pt>
                <c:pt idx="140">
                  <c:v>166292.0</c:v>
                </c:pt>
                <c:pt idx="141">
                  <c:v>-64578.0</c:v>
                </c:pt>
                <c:pt idx="142">
                  <c:v>112491.0</c:v>
                </c:pt>
                <c:pt idx="143">
                  <c:v>-10286.0</c:v>
                </c:pt>
                <c:pt idx="144">
                  <c:v>87291.0</c:v>
                </c:pt>
                <c:pt idx="145">
                  <c:v>110829.0</c:v>
                </c:pt>
                <c:pt idx="146">
                  <c:v>277182.0</c:v>
                </c:pt>
                <c:pt idx="147">
                  <c:v>-26536.0</c:v>
                </c:pt>
                <c:pt idx="148">
                  <c:v>457698.0</c:v>
                </c:pt>
                <c:pt idx="149">
                  <c:v>249770.0</c:v>
                </c:pt>
                <c:pt idx="150">
                  <c:v>142412.0</c:v>
                </c:pt>
                <c:pt idx="151">
                  <c:v>157284.0</c:v>
                </c:pt>
                <c:pt idx="152">
                  <c:v>250762.0</c:v>
                </c:pt>
                <c:pt idx="153">
                  <c:v>179501.0</c:v>
                </c:pt>
                <c:pt idx="154">
                  <c:v>-51961.0</c:v>
                </c:pt>
                <c:pt idx="155">
                  <c:v>26466.0</c:v>
                </c:pt>
                <c:pt idx="156">
                  <c:v>64077.0</c:v>
                </c:pt>
                <c:pt idx="157">
                  <c:v>276426.0</c:v>
                </c:pt>
                <c:pt idx="158">
                  <c:v>254206.0</c:v>
                </c:pt>
                <c:pt idx="159">
                  <c:v>420335.0</c:v>
                </c:pt>
                <c:pt idx="160">
                  <c:v>403902.0</c:v>
                </c:pt>
                <c:pt idx="161">
                  <c:v>416473.0</c:v>
                </c:pt>
                <c:pt idx="162">
                  <c:v>24430.0</c:v>
                </c:pt>
                <c:pt idx="163">
                  <c:v>195482.0</c:v>
                </c:pt>
                <c:pt idx="164">
                  <c:v>115421.0</c:v>
                </c:pt>
                <c:pt idx="165">
                  <c:v>595746.0</c:v>
                </c:pt>
                <c:pt idx="166">
                  <c:v>52911.0</c:v>
                </c:pt>
                <c:pt idx="167">
                  <c:v>-179692.0</c:v>
                </c:pt>
                <c:pt idx="168">
                  <c:v>-69909.0</c:v>
                </c:pt>
                <c:pt idx="169">
                  <c:v>32275.0</c:v>
                </c:pt>
                <c:pt idx="170">
                  <c:v>523236.0</c:v>
                </c:pt>
                <c:pt idx="171">
                  <c:v>16764.0</c:v>
                </c:pt>
                <c:pt idx="172">
                  <c:v>407964.0</c:v>
                </c:pt>
                <c:pt idx="173">
                  <c:v>64840.0</c:v>
                </c:pt>
                <c:pt idx="174">
                  <c:v>-233680.0</c:v>
                </c:pt>
                <c:pt idx="175">
                  <c:v>-251911.0</c:v>
                </c:pt>
                <c:pt idx="176">
                  <c:v>5651.0</c:v>
                </c:pt>
                <c:pt idx="177">
                  <c:v>-62298.0</c:v>
                </c:pt>
                <c:pt idx="178">
                  <c:v>167348.0</c:v>
                </c:pt>
                <c:pt idx="179">
                  <c:v>-71978.0</c:v>
                </c:pt>
                <c:pt idx="180">
                  <c:v>-177220.0</c:v>
                </c:pt>
                <c:pt idx="181">
                  <c:v>28482.0</c:v>
                </c:pt>
                <c:pt idx="182">
                  <c:v>-8061.0</c:v>
                </c:pt>
                <c:pt idx="183">
                  <c:v>215945.0</c:v>
                </c:pt>
                <c:pt idx="184">
                  <c:v>175373.0</c:v>
                </c:pt>
                <c:pt idx="185">
                  <c:v>454972.0</c:v>
                </c:pt>
                <c:pt idx="186">
                  <c:v>474.0</c:v>
                </c:pt>
                <c:pt idx="187">
                  <c:v>231979.0</c:v>
                </c:pt>
                <c:pt idx="188">
                  <c:v>229830.0</c:v>
                </c:pt>
                <c:pt idx="189">
                  <c:v>-38537.0</c:v>
                </c:pt>
                <c:pt idx="190">
                  <c:v>118859.0</c:v>
                </c:pt>
                <c:pt idx="191">
                  <c:v>-280000.0</c:v>
                </c:pt>
                <c:pt idx="192">
                  <c:v>-52970.0</c:v>
                </c:pt>
                <c:pt idx="193">
                  <c:v>-220289.0</c:v>
                </c:pt>
                <c:pt idx="194">
                  <c:v>324211.0</c:v>
                </c:pt>
                <c:pt idx="195">
                  <c:v>-123434.0</c:v>
                </c:pt>
                <c:pt idx="196">
                  <c:v>-121704.0</c:v>
                </c:pt>
                <c:pt idx="197">
                  <c:v>381530.0</c:v>
                </c:pt>
                <c:pt idx="198">
                  <c:v>-372710.0</c:v>
                </c:pt>
                <c:pt idx="199">
                  <c:v>-126302.0</c:v>
                </c:pt>
                <c:pt idx="200">
                  <c:v>240940.0</c:v>
                </c:pt>
                <c:pt idx="201">
                  <c:v>184135.0</c:v>
                </c:pt>
                <c:pt idx="202">
                  <c:v>-147743.0</c:v>
                </c:pt>
                <c:pt idx="203">
                  <c:v>-218758.0</c:v>
                </c:pt>
                <c:pt idx="204">
                  <c:v>-290236.0</c:v>
                </c:pt>
                <c:pt idx="205">
                  <c:v>-266960.0</c:v>
                </c:pt>
                <c:pt idx="206">
                  <c:v>434026.0</c:v>
                </c:pt>
                <c:pt idx="207">
                  <c:v>164609.0</c:v>
                </c:pt>
                <c:pt idx="208">
                  <c:v>446055.0</c:v>
                </c:pt>
                <c:pt idx="209">
                  <c:v>194403.0</c:v>
                </c:pt>
                <c:pt idx="210">
                  <c:v>-349032.0</c:v>
                </c:pt>
                <c:pt idx="211">
                  <c:v>44364.0</c:v>
                </c:pt>
                <c:pt idx="212">
                  <c:v>76214.0</c:v>
                </c:pt>
                <c:pt idx="213">
                  <c:v>-88677.0</c:v>
                </c:pt>
                <c:pt idx="214">
                  <c:v>-77594.0</c:v>
                </c:pt>
                <c:pt idx="215">
                  <c:v>-121470.0</c:v>
                </c:pt>
                <c:pt idx="216">
                  <c:v>-69772.0</c:v>
                </c:pt>
                <c:pt idx="217">
                  <c:v>79586.0</c:v>
                </c:pt>
                <c:pt idx="218">
                  <c:v>-1121.0</c:v>
                </c:pt>
                <c:pt idx="219">
                  <c:v>9885.0</c:v>
                </c:pt>
                <c:pt idx="220">
                  <c:v>217715.0</c:v>
                </c:pt>
                <c:pt idx="221">
                  <c:v>-26244.0</c:v>
                </c:pt>
                <c:pt idx="222">
                  <c:v>-110288.0</c:v>
                </c:pt>
                <c:pt idx="223">
                  <c:v>-102358.0</c:v>
                </c:pt>
                <c:pt idx="224">
                  <c:v>-40948.0</c:v>
                </c:pt>
                <c:pt idx="225">
                  <c:v>102350.0</c:v>
                </c:pt>
                <c:pt idx="226">
                  <c:v>228778.0</c:v>
                </c:pt>
                <c:pt idx="227">
                  <c:v>-211179.0</c:v>
                </c:pt>
                <c:pt idx="228">
                  <c:v>-227970.0</c:v>
                </c:pt>
                <c:pt idx="229">
                  <c:v>-268790.0</c:v>
                </c:pt>
                <c:pt idx="230">
                  <c:v>26287.0</c:v>
                </c:pt>
                <c:pt idx="231">
                  <c:v>174418.0</c:v>
                </c:pt>
                <c:pt idx="232">
                  <c:v>119169.0</c:v>
                </c:pt>
                <c:pt idx="233">
                  <c:v>748705.0</c:v>
                </c:pt>
                <c:pt idx="234">
                  <c:v>230657.0</c:v>
                </c:pt>
                <c:pt idx="235">
                  <c:v>114891.0</c:v>
                </c:pt>
                <c:pt idx="236">
                  <c:v>170534.0</c:v>
                </c:pt>
                <c:pt idx="237">
                  <c:v>350656.0</c:v>
                </c:pt>
                <c:pt idx="238">
                  <c:v>90307.0</c:v>
                </c:pt>
                <c:pt idx="239">
                  <c:v>-57392.0</c:v>
                </c:pt>
                <c:pt idx="240">
                  <c:v>82653.0</c:v>
                </c:pt>
                <c:pt idx="241">
                  <c:v>160431.0</c:v>
                </c:pt>
                <c:pt idx="242">
                  <c:v>154277.0</c:v>
                </c:pt>
                <c:pt idx="243">
                  <c:v>576385.0</c:v>
                </c:pt>
                <c:pt idx="244">
                  <c:v>633258.0</c:v>
                </c:pt>
                <c:pt idx="245">
                  <c:v>726588.0</c:v>
                </c:pt>
                <c:pt idx="246">
                  <c:v>576314.0</c:v>
                </c:pt>
                <c:pt idx="247">
                  <c:v>433317.0</c:v>
                </c:pt>
                <c:pt idx="248">
                  <c:v>503443.0</c:v>
                </c:pt>
                <c:pt idx="249">
                  <c:v>637324.0</c:v>
                </c:pt>
                <c:pt idx="250">
                  <c:v>4576.0</c:v>
                </c:pt>
                <c:pt idx="251">
                  <c:v>-120778.0</c:v>
                </c:pt>
                <c:pt idx="252">
                  <c:v>-156557.0</c:v>
                </c:pt>
                <c:pt idx="253">
                  <c:v>96262.0</c:v>
                </c:pt>
                <c:pt idx="254">
                  <c:v>365145.0</c:v>
                </c:pt>
                <c:pt idx="255">
                  <c:v>73987.0</c:v>
                </c:pt>
                <c:pt idx="256">
                  <c:v>-219974.0</c:v>
                </c:pt>
                <c:pt idx="257">
                  <c:v>145102.0</c:v>
                </c:pt>
                <c:pt idx="258">
                  <c:v>140017.0</c:v>
                </c:pt>
                <c:pt idx="259">
                  <c:v>433882.0</c:v>
                </c:pt>
                <c:pt idx="260">
                  <c:v>-106.0</c:v>
                </c:pt>
                <c:pt idx="261">
                  <c:v>-101578.0</c:v>
                </c:pt>
                <c:pt idx="262">
                  <c:v>-28807.0</c:v>
                </c:pt>
                <c:pt idx="263">
                  <c:v>-201599.0</c:v>
                </c:pt>
                <c:pt idx="264">
                  <c:v>-376885.0</c:v>
                </c:pt>
                <c:pt idx="265">
                  <c:v>-264312.0</c:v>
                </c:pt>
                <c:pt idx="266">
                  <c:v>-299192.0</c:v>
                </c:pt>
                <c:pt idx="267">
                  <c:v>598107.0</c:v>
                </c:pt>
                <c:pt idx="268">
                  <c:v>598853.0</c:v>
                </c:pt>
                <c:pt idx="269">
                  <c:v>699684.0</c:v>
                </c:pt>
                <c:pt idx="270">
                  <c:v>102285.0</c:v>
                </c:pt>
                <c:pt idx="271">
                  <c:v>421137.0</c:v>
                </c:pt>
                <c:pt idx="272">
                  <c:v>262188.0</c:v>
                </c:pt>
                <c:pt idx="273">
                  <c:v>-25329.0</c:v>
                </c:pt>
                <c:pt idx="274">
                  <c:v>82905.0</c:v>
                </c:pt>
                <c:pt idx="275">
                  <c:v>137712.0</c:v>
                </c:pt>
                <c:pt idx="276">
                  <c:v>-39094.0</c:v>
                </c:pt>
                <c:pt idx="277">
                  <c:v>12074.0</c:v>
                </c:pt>
                <c:pt idx="278">
                  <c:v>141549.0</c:v>
                </c:pt>
                <c:pt idx="279">
                  <c:v>266189.0</c:v>
                </c:pt>
                <c:pt idx="280">
                  <c:v>559632.0</c:v>
                </c:pt>
                <c:pt idx="281">
                  <c:v>425432.0</c:v>
                </c:pt>
                <c:pt idx="282">
                  <c:v>156597.0</c:v>
                </c:pt>
                <c:pt idx="283">
                  <c:v>598697.0</c:v>
                </c:pt>
                <c:pt idx="284">
                  <c:v>241276.0</c:v>
                </c:pt>
                <c:pt idx="285">
                  <c:v>128161.0</c:v>
                </c:pt>
                <c:pt idx="286">
                  <c:v>133417.0</c:v>
                </c:pt>
                <c:pt idx="287">
                  <c:v>-678217.0</c:v>
                </c:pt>
                <c:pt idx="288">
                  <c:v>-270510.0</c:v>
                </c:pt>
                <c:pt idx="289">
                  <c:v>-260145.0</c:v>
                </c:pt>
                <c:pt idx="290">
                  <c:v>-347547.0</c:v>
                </c:pt>
                <c:pt idx="291">
                  <c:v>-268713.0</c:v>
                </c:pt>
                <c:pt idx="292">
                  <c:v>429860.0</c:v>
                </c:pt>
                <c:pt idx="293">
                  <c:v>218642.0</c:v>
                </c:pt>
                <c:pt idx="294">
                  <c:v>10771.0</c:v>
                </c:pt>
                <c:pt idx="295">
                  <c:v>400088.0</c:v>
                </c:pt>
                <c:pt idx="296">
                  <c:v>-244827.0</c:v>
                </c:pt>
                <c:pt idx="297">
                  <c:v>324540.0</c:v>
                </c:pt>
                <c:pt idx="298">
                  <c:v>-130875.0</c:v>
                </c:pt>
                <c:pt idx="299">
                  <c:v>196114.0</c:v>
                </c:pt>
                <c:pt idx="300">
                  <c:v>-156870.0</c:v>
                </c:pt>
                <c:pt idx="301">
                  <c:v>-115365.0</c:v>
                </c:pt>
                <c:pt idx="302">
                  <c:v>-58604.0</c:v>
                </c:pt>
                <c:pt idx="303">
                  <c:v>186018.0</c:v>
                </c:pt>
                <c:pt idx="304">
                  <c:v>-141490.0</c:v>
                </c:pt>
                <c:pt idx="305">
                  <c:v>63115.0</c:v>
                </c:pt>
                <c:pt idx="306">
                  <c:v>57801.0</c:v>
                </c:pt>
                <c:pt idx="307">
                  <c:v>15943.0</c:v>
                </c:pt>
                <c:pt idx="308">
                  <c:v>496763.0</c:v>
                </c:pt>
                <c:pt idx="309">
                  <c:v>225816.0</c:v>
                </c:pt>
                <c:pt idx="310">
                  <c:v>0.0</c:v>
                </c:pt>
                <c:pt idx="311">
                  <c:v>0.0</c:v>
                </c:pt>
                <c:pt idx="314">
                  <c:v>62840.77528076923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6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'Month S&amp;P'!$A$3:$A$112</c:f>
              <c:strCache>
                <c:ptCount val="110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</c:strCache>
            </c:strRef>
          </c:cat>
          <c:val>
            <c:numRef>
              <c:f>'Month S&amp;P'!$P$3:$P$112</c:f>
              <c:numCache>
                <c:formatCode>#,##0_);[Red]\(#,##0\)</c:formatCode>
                <c:ptCount val="110"/>
                <c:pt idx="1">
                  <c:v>347835.3593688212</c:v>
                </c:pt>
                <c:pt idx="2">
                  <c:v>347835.3593688212</c:v>
                </c:pt>
                <c:pt idx="3">
                  <c:v>347835.3593688212</c:v>
                </c:pt>
                <c:pt idx="4">
                  <c:v>347835.3593688212</c:v>
                </c:pt>
                <c:pt idx="5">
                  <c:v>347835.3593688212</c:v>
                </c:pt>
                <c:pt idx="6">
                  <c:v>347835.3593688212</c:v>
                </c:pt>
                <c:pt idx="7">
                  <c:v>347835.3593688212</c:v>
                </c:pt>
                <c:pt idx="8">
                  <c:v>347835.3593688212</c:v>
                </c:pt>
                <c:pt idx="9">
                  <c:v>347835.3593688212</c:v>
                </c:pt>
                <c:pt idx="10">
                  <c:v>347835.3593688212</c:v>
                </c:pt>
                <c:pt idx="11">
                  <c:v>347835.3593688212</c:v>
                </c:pt>
                <c:pt idx="12">
                  <c:v>347835.3593688212</c:v>
                </c:pt>
                <c:pt idx="13">
                  <c:v>347835.3593688212</c:v>
                </c:pt>
                <c:pt idx="14">
                  <c:v>347835.3593688212</c:v>
                </c:pt>
                <c:pt idx="15">
                  <c:v>347835.3593688212</c:v>
                </c:pt>
                <c:pt idx="16">
                  <c:v>347835.3593688212</c:v>
                </c:pt>
                <c:pt idx="17">
                  <c:v>347835.3593688212</c:v>
                </c:pt>
                <c:pt idx="18">
                  <c:v>347835.3593688212</c:v>
                </c:pt>
                <c:pt idx="19">
                  <c:v>347835.3593688212</c:v>
                </c:pt>
                <c:pt idx="20">
                  <c:v>347835.3593688212</c:v>
                </c:pt>
                <c:pt idx="21">
                  <c:v>347835.3593688212</c:v>
                </c:pt>
                <c:pt idx="22">
                  <c:v>347835.3593688212</c:v>
                </c:pt>
                <c:pt idx="23">
                  <c:v>347835.3593688212</c:v>
                </c:pt>
                <c:pt idx="24">
                  <c:v>347835.3593688212</c:v>
                </c:pt>
                <c:pt idx="25">
                  <c:v>347835.3593688212</c:v>
                </c:pt>
                <c:pt idx="26">
                  <c:v>347835.3593688212</c:v>
                </c:pt>
                <c:pt idx="27">
                  <c:v>347835.3593688212</c:v>
                </c:pt>
                <c:pt idx="28">
                  <c:v>347835.3593688212</c:v>
                </c:pt>
                <c:pt idx="29">
                  <c:v>347835.3593688212</c:v>
                </c:pt>
                <c:pt idx="30">
                  <c:v>347835.3593688212</c:v>
                </c:pt>
                <c:pt idx="31">
                  <c:v>347835.3593688212</c:v>
                </c:pt>
                <c:pt idx="32">
                  <c:v>347835.3593688212</c:v>
                </c:pt>
                <c:pt idx="33">
                  <c:v>347835.3593688212</c:v>
                </c:pt>
                <c:pt idx="34">
                  <c:v>347835.3593688212</c:v>
                </c:pt>
                <c:pt idx="35">
                  <c:v>347835.3593688212</c:v>
                </c:pt>
                <c:pt idx="36">
                  <c:v>347835.3593688212</c:v>
                </c:pt>
                <c:pt idx="37">
                  <c:v>347835.3593688212</c:v>
                </c:pt>
                <c:pt idx="38">
                  <c:v>347835.3593688212</c:v>
                </c:pt>
                <c:pt idx="39">
                  <c:v>347835.3593688212</c:v>
                </c:pt>
                <c:pt idx="40">
                  <c:v>347835.3593688212</c:v>
                </c:pt>
                <c:pt idx="41">
                  <c:v>347835.3593688212</c:v>
                </c:pt>
                <c:pt idx="42">
                  <c:v>347835.3593688212</c:v>
                </c:pt>
                <c:pt idx="43">
                  <c:v>347835.3593688212</c:v>
                </c:pt>
                <c:pt idx="44">
                  <c:v>347835.3593688212</c:v>
                </c:pt>
                <c:pt idx="45">
                  <c:v>347835.3593688212</c:v>
                </c:pt>
                <c:pt idx="46">
                  <c:v>347835.3593688212</c:v>
                </c:pt>
                <c:pt idx="47">
                  <c:v>347835.3593688212</c:v>
                </c:pt>
                <c:pt idx="48">
                  <c:v>347835.3593688212</c:v>
                </c:pt>
                <c:pt idx="49">
                  <c:v>347835.3593688212</c:v>
                </c:pt>
                <c:pt idx="50">
                  <c:v>347835.3593688212</c:v>
                </c:pt>
                <c:pt idx="51">
                  <c:v>347835.3593688212</c:v>
                </c:pt>
                <c:pt idx="52">
                  <c:v>347835.3593688212</c:v>
                </c:pt>
                <c:pt idx="53">
                  <c:v>347835.3593688212</c:v>
                </c:pt>
                <c:pt idx="54">
                  <c:v>347835.3593688212</c:v>
                </c:pt>
                <c:pt idx="55">
                  <c:v>347835.3593688212</c:v>
                </c:pt>
                <c:pt idx="56">
                  <c:v>347835.3593688212</c:v>
                </c:pt>
                <c:pt idx="57">
                  <c:v>347835.3593688212</c:v>
                </c:pt>
                <c:pt idx="58">
                  <c:v>347835.3593688212</c:v>
                </c:pt>
                <c:pt idx="59">
                  <c:v>347835.3593688212</c:v>
                </c:pt>
                <c:pt idx="60">
                  <c:v>347835.3593688212</c:v>
                </c:pt>
                <c:pt idx="61">
                  <c:v>347835.3593688212</c:v>
                </c:pt>
                <c:pt idx="62">
                  <c:v>347835.3593688212</c:v>
                </c:pt>
                <c:pt idx="63">
                  <c:v>347835.3593688212</c:v>
                </c:pt>
                <c:pt idx="64">
                  <c:v>347835.3593688212</c:v>
                </c:pt>
                <c:pt idx="65">
                  <c:v>347835.3593688212</c:v>
                </c:pt>
                <c:pt idx="66">
                  <c:v>347835.3593688212</c:v>
                </c:pt>
                <c:pt idx="67">
                  <c:v>347835.3593688212</c:v>
                </c:pt>
                <c:pt idx="68">
                  <c:v>347835.3593688212</c:v>
                </c:pt>
                <c:pt idx="69">
                  <c:v>347835.3593688212</c:v>
                </c:pt>
                <c:pt idx="70">
                  <c:v>347835.3593688212</c:v>
                </c:pt>
                <c:pt idx="71">
                  <c:v>347835.3593688212</c:v>
                </c:pt>
                <c:pt idx="72">
                  <c:v>347835.3593688212</c:v>
                </c:pt>
                <c:pt idx="73">
                  <c:v>347835.3593688212</c:v>
                </c:pt>
                <c:pt idx="74">
                  <c:v>347835.3593688212</c:v>
                </c:pt>
                <c:pt idx="75">
                  <c:v>347835.3593688212</c:v>
                </c:pt>
                <c:pt idx="76">
                  <c:v>347835.3593688212</c:v>
                </c:pt>
                <c:pt idx="77">
                  <c:v>347835.3593688212</c:v>
                </c:pt>
                <c:pt idx="78">
                  <c:v>347835.3593688212</c:v>
                </c:pt>
                <c:pt idx="79">
                  <c:v>347835.3593688212</c:v>
                </c:pt>
                <c:pt idx="80">
                  <c:v>347835.3593688212</c:v>
                </c:pt>
                <c:pt idx="81">
                  <c:v>347835.3593688212</c:v>
                </c:pt>
                <c:pt idx="82">
                  <c:v>347835.3593688212</c:v>
                </c:pt>
                <c:pt idx="83">
                  <c:v>347835.3593688212</c:v>
                </c:pt>
                <c:pt idx="84">
                  <c:v>347835.3593688212</c:v>
                </c:pt>
                <c:pt idx="85">
                  <c:v>347835.3593688212</c:v>
                </c:pt>
                <c:pt idx="86">
                  <c:v>347835.3593688212</c:v>
                </c:pt>
                <c:pt idx="87">
                  <c:v>347835.3593688212</c:v>
                </c:pt>
                <c:pt idx="88">
                  <c:v>347835.3593688212</c:v>
                </c:pt>
                <c:pt idx="89">
                  <c:v>347835.3593688212</c:v>
                </c:pt>
                <c:pt idx="90">
                  <c:v>347835.3593688212</c:v>
                </c:pt>
                <c:pt idx="91">
                  <c:v>347835.3593688212</c:v>
                </c:pt>
                <c:pt idx="92">
                  <c:v>347835.3593688212</c:v>
                </c:pt>
                <c:pt idx="93">
                  <c:v>347835.3593688212</c:v>
                </c:pt>
                <c:pt idx="94">
                  <c:v>347835.3593688212</c:v>
                </c:pt>
                <c:pt idx="95">
                  <c:v>347835.3593688212</c:v>
                </c:pt>
                <c:pt idx="96">
                  <c:v>347835.3593688212</c:v>
                </c:pt>
                <c:pt idx="97">
                  <c:v>347835.3593688212</c:v>
                </c:pt>
                <c:pt idx="98">
                  <c:v>347835.3593688212</c:v>
                </c:pt>
                <c:pt idx="99">
                  <c:v>347835.3593688212</c:v>
                </c:pt>
                <c:pt idx="100">
                  <c:v>347835.3593688212</c:v>
                </c:pt>
                <c:pt idx="101">
                  <c:v>347835.3593688212</c:v>
                </c:pt>
                <c:pt idx="102">
                  <c:v>347835.3593688212</c:v>
                </c:pt>
                <c:pt idx="103">
                  <c:v>347835.3593688212</c:v>
                </c:pt>
                <c:pt idx="104">
                  <c:v>347835.3593688212</c:v>
                </c:pt>
                <c:pt idx="105">
                  <c:v>347835.3593688212</c:v>
                </c:pt>
                <c:pt idx="106">
                  <c:v>347835.3593688212</c:v>
                </c:pt>
                <c:pt idx="107">
                  <c:v>347835.3593688212</c:v>
                </c:pt>
                <c:pt idx="108">
                  <c:v>347835.3593688212</c:v>
                </c:pt>
                <c:pt idx="109">
                  <c:v>347835.3593688212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ot"/>
            <c:size val="6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strRef>
              <c:f>'Month S&amp;P'!$A$3:$A$112</c:f>
              <c:strCache>
                <c:ptCount val="110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</c:strCache>
            </c:strRef>
          </c:cat>
          <c:val>
            <c:numRef>
              <c:f>'Month S&amp;P'!$Q$3:$Q$112</c:f>
              <c:numCache>
                <c:formatCode>#,##0_);[Red]\(#,##0\)</c:formatCode>
                <c:ptCount val="110"/>
                <c:pt idx="1">
                  <c:v>-222153.8088072828</c:v>
                </c:pt>
                <c:pt idx="2">
                  <c:v>-222153.8088072828</c:v>
                </c:pt>
                <c:pt idx="3">
                  <c:v>-222153.8088072828</c:v>
                </c:pt>
                <c:pt idx="4">
                  <c:v>-222153.8088072828</c:v>
                </c:pt>
                <c:pt idx="5">
                  <c:v>-222153.8088072828</c:v>
                </c:pt>
                <c:pt idx="6">
                  <c:v>-222153.8088072828</c:v>
                </c:pt>
                <c:pt idx="7">
                  <c:v>-222153.8088072828</c:v>
                </c:pt>
                <c:pt idx="8">
                  <c:v>-222153.8088072828</c:v>
                </c:pt>
                <c:pt idx="9">
                  <c:v>-222153.8088072828</c:v>
                </c:pt>
                <c:pt idx="10">
                  <c:v>-222153.8088072828</c:v>
                </c:pt>
                <c:pt idx="11">
                  <c:v>-222153.8088072828</c:v>
                </c:pt>
                <c:pt idx="12">
                  <c:v>-222153.8088072828</c:v>
                </c:pt>
                <c:pt idx="13">
                  <c:v>-222153.8088072828</c:v>
                </c:pt>
                <c:pt idx="14">
                  <c:v>-222153.8088072828</c:v>
                </c:pt>
                <c:pt idx="15">
                  <c:v>-222153.8088072828</c:v>
                </c:pt>
                <c:pt idx="16">
                  <c:v>-222153.8088072828</c:v>
                </c:pt>
                <c:pt idx="17">
                  <c:v>-222153.8088072828</c:v>
                </c:pt>
                <c:pt idx="18">
                  <c:v>-222153.8088072828</c:v>
                </c:pt>
                <c:pt idx="19">
                  <c:v>-222153.8088072828</c:v>
                </c:pt>
                <c:pt idx="20">
                  <c:v>-222153.8088072828</c:v>
                </c:pt>
                <c:pt idx="21">
                  <c:v>-222153.8088072828</c:v>
                </c:pt>
                <c:pt idx="22">
                  <c:v>-222153.8088072828</c:v>
                </c:pt>
                <c:pt idx="23">
                  <c:v>-222153.8088072828</c:v>
                </c:pt>
                <c:pt idx="24">
                  <c:v>-222153.8088072828</c:v>
                </c:pt>
                <c:pt idx="25">
                  <c:v>-222153.8088072828</c:v>
                </c:pt>
                <c:pt idx="26">
                  <c:v>-222153.8088072828</c:v>
                </c:pt>
                <c:pt idx="27">
                  <c:v>-222153.8088072828</c:v>
                </c:pt>
                <c:pt idx="28">
                  <c:v>-222153.8088072828</c:v>
                </c:pt>
                <c:pt idx="29">
                  <c:v>-222153.8088072828</c:v>
                </c:pt>
                <c:pt idx="30">
                  <c:v>-222153.8088072828</c:v>
                </c:pt>
                <c:pt idx="31">
                  <c:v>-222153.8088072828</c:v>
                </c:pt>
                <c:pt idx="32">
                  <c:v>-222153.8088072828</c:v>
                </c:pt>
                <c:pt idx="33">
                  <c:v>-222153.8088072828</c:v>
                </c:pt>
                <c:pt idx="34">
                  <c:v>-222153.8088072828</c:v>
                </c:pt>
                <c:pt idx="35">
                  <c:v>-222153.8088072828</c:v>
                </c:pt>
                <c:pt idx="36">
                  <c:v>-222153.8088072828</c:v>
                </c:pt>
                <c:pt idx="37">
                  <c:v>-222153.8088072828</c:v>
                </c:pt>
                <c:pt idx="38">
                  <c:v>-222153.8088072828</c:v>
                </c:pt>
                <c:pt idx="39">
                  <c:v>-222153.8088072828</c:v>
                </c:pt>
                <c:pt idx="40">
                  <c:v>-222153.8088072828</c:v>
                </c:pt>
                <c:pt idx="41">
                  <c:v>-222153.8088072828</c:v>
                </c:pt>
                <c:pt idx="42">
                  <c:v>-222153.8088072828</c:v>
                </c:pt>
                <c:pt idx="43">
                  <c:v>-222153.8088072828</c:v>
                </c:pt>
                <c:pt idx="44">
                  <c:v>-222153.8088072828</c:v>
                </c:pt>
                <c:pt idx="45">
                  <c:v>-222153.8088072828</c:v>
                </c:pt>
                <c:pt idx="46">
                  <c:v>-222153.8088072828</c:v>
                </c:pt>
                <c:pt idx="47">
                  <c:v>-222153.8088072828</c:v>
                </c:pt>
                <c:pt idx="48">
                  <c:v>-222153.8088072828</c:v>
                </c:pt>
                <c:pt idx="49">
                  <c:v>-222153.8088072828</c:v>
                </c:pt>
                <c:pt idx="50">
                  <c:v>-222153.8088072828</c:v>
                </c:pt>
                <c:pt idx="51">
                  <c:v>-222153.8088072828</c:v>
                </c:pt>
                <c:pt idx="52">
                  <c:v>-222153.8088072828</c:v>
                </c:pt>
                <c:pt idx="53">
                  <c:v>-222153.8088072828</c:v>
                </c:pt>
                <c:pt idx="54">
                  <c:v>-222153.8088072828</c:v>
                </c:pt>
                <c:pt idx="55">
                  <c:v>-222153.8088072828</c:v>
                </c:pt>
                <c:pt idx="56">
                  <c:v>-222153.8088072828</c:v>
                </c:pt>
                <c:pt idx="57">
                  <c:v>-222153.8088072828</c:v>
                </c:pt>
                <c:pt idx="58">
                  <c:v>-222153.8088072828</c:v>
                </c:pt>
                <c:pt idx="59">
                  <c:v>-222153.8088072828</c:v>
                </c:pt>
                <c:pt idx="60">
                  <c:v>-222153.8088072828</c:v>
                </c:pt>
                <c:pt idx="61">
                  <c:v>-222153.8088072828</c:v>
                </c:pt>
                <c:pt idx="62">
                  <c:v>-222153.8088072828</c:v>
                </c:pt>
                <c:pt idx="63">
                  <c:v>-222153.8088072828</c:v>
                </c:pt>
                <c:pt idx="64">
                  <c:v>-222153.8088072828</c:v>
                </c:pt>
                <c:pt idx="65">
                  <c:v>-222153.8088072828</c:v>
                </c:pt>
                <c:pt idx="66">
                  <c:v>-222153.8088072828</c:v>
                </c:pt>
                <c:pt idx="67">
                  <c:v>-222153.8088072828</c:v>
                </c:pt>
                <c:pt idx="68">
                  <c:v>-222153.8088072828</c:v>
                </c:pt>
                <c:pt idx="69">
                  <c:v>-222153.8088072828</c:v>
                </c:pt>
                <c:pt idx="70">
                  <c:v>-222153.8088072828</c:v>
                </c:pt>
                <c:pt idx="71">
                  <c:v>-222153.8088072828</c:v>
                </c:pt>
                <c:pt idx="72">
                  <c:v>-222153.8088072828</c:v>
                </c:pt>
                <c:pt idx="73">
                  <c:v>-222153.8088072828</c:v>
                </c:pt>
                <c:pt idx="74">
                  <c:v>-222153.8088072828</c:v>
                </c:pt>
                <c:pt idx="75">
                  <c:v>-222153.8088072828</c:v>
                </c:pt>
                <c:pt idx="76">
                  <c:v>-222153.8088072828</c:v>
                </c:pt>
                <c:pt idx="77">
                  <c:v>-222153.8088072828</c:v>
                </c:pt>
                <c:pt idx="78">
                  <c:v>-222153.8088072828</c:v>
                </c:pt>
                <c:pt idx="79">
                  <c:v>-222153.8088072828</c:v>
                </c:pt>
                <c:pt idx="80">
                  <c:v>-222153.8088072828</c:v>
                </c:pt>
                <c:pt idx="81">
                  <c:v>-222153.8088072828</c:v>
                </c:pt>
                <c:pt idx="82">
                  <c:v>-222153.8088072828</c:v>
                </c:pt>
                <c:pt idx="83">
                  <c:v>-222153.8088072828</c:v>
                </c:pt>
                <c:pt idx="84">
                  <c:v>-222153.8088072828</c:v>
                </c:pt>
                <c:pt idx="85">
                  <c:v>-222153.8088072828</c:v>
                </c:pt>
                <c:pt idx="86">
                  <c:v>-222153.8088072828</c:v>
                </c:pt>
                <c:pt idx="87">
                  <c:v>-222153.8088072828</c:v>
                </c:pt>
                <c:pt idx="88">
                  <c:v>-222153.8088072828</c:v>
                </c:pt>
                <c:pt idx="89">
                  <c:v>-222153.8088072828</c:v>
                </c:pt>
                <c:pt idx="90">
                  <c:v>-222153.8088072828</c:v>
                </c:pt>
                <c:pt idx="91">
                  <c:v>-222153.8088072828</c:v>
                </c:pt>
                <c:pt idx="92">
                  <c:v>-222153.8088072828</c:v>
                </c:pt>
                <c:pt idx="93">
                  <c:v>-222153.8088072828</c:v>
                </c:pt>
                <c:pt idx="94">
                  <c:v>-222153.8088072828</c:v>
                </c:pt>
                <c:pt idx="95">
                  <c:v>-222153.8088072828</c:v>
                </c:pt>
                <c:pt idx="96">
                  <c:v>-222153.8088072828</c:v>
                </c:pt>
                <c:pt idx="97">
                  <c:v>-222153.8088072828</c:v>
                </c:pt>
                <c:pt idx="98">
                  <c:v>-222153.8088072828</c:v>
                </c:pt>
                <c:pt idx="99">
                  <c:v>-222153.8088072828</c:v>
                </c:pt>
                <c:pt idx="100">
                  <c:v>-222153.8088072828</c:v>
                </c:pt>
                <c:pt idx="101">
                  <c:v>-222153.8088072828</c:v>
                </c:pt>
                <c:pt idx="102">
                  <c:v>-222153.8088072828</c:v>
                </c:pt>
                <c:pt idx="103">
                  <c:v>-222153.8088072828</c:v>
                </c:pt>
                <c:pt idx="104">
                  <c:v>-222153.8088072828</c:v>
                </c:pt>
                <c:pt idx="105">
                  <c:v>-222153.8088072828</c:v>
                </c:pt>
                <c:pt idx="106">
                  <c:v>-222153.8088072828</c:v>
                </c:pt>
                <c:pt idx="107">
                  <c:v>-222153.8088072828</c:v>
                </c:pt>
                <c:pt idx="108">
                  <c:v>-222153.8088072828</c:v>
                </c:pt>
                <c:pt idx="109">
                  <c:v>-222153.8088072828</c:v>
                </c:pt>
              </c:numCache>
            </c:numRef>
          </c:val>
          <c:smooth val="0"/>
        </c:ser>
        <c:ser>
          <c:idx val="3"/>
          <c:order val="3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'Month S&amp;P'!$E$3:$E$74</c:f>
              <c:numCache>
                <c:formatCode>#,##0_);[Red]\(#,##0\)</c:formatCode>
                <c:ptCount val="72"/>
                <c:pt idx="12">
                  <c:v>53933.0</c:v>
                </c:pt>
                <c:pt idx="13">
                  <c:v>36323.83333333334</c:v>
                </c:pt>
                <c:pt idx="14">
                  <c:v>31306.75</c:v>
                </c:pt>
                <c:pt idx="15">
                  <c:v>31788.83333333333</c:v>
                </c:pt>
                <c:pt idx="16">
                  <c:v>42506.75</c:v>
                </c:pt>
                <c:pt idx="17">
                  <c:v>46353.16666666666</c:v>
                </c:pt>
                <c:pt idx="18">
                  <c:v>32169.25</c:v>
                </c:pt>
                <c:pt idx="19">
                  <c:v>29423.16666666667</c:v>
                </c:pt>
                <c:pt idx="20">
                  <c:v>26825.58333333333</c:v>
                </c:pt>
                <c:pt idx="21">
                  <c:v>27685.33333333333</c:v>
                </c:pt>
                <c:pt idx="22">
                  <c:v>36111.41666666666</c:v>
                </c:pt>
                <c:pt idx="23">
                  <c:v>58498.08333333334</c:v>
                </c:pt>
                <c:pt idx="24">
                  <c:v>64637.08333333334</c:v>
                </c:pt>
                <c:pt idx="25">
                  <c:v>61514.58333333334</c:v>
                </c:pt>
                <c:pt idx="26">
                  <c:v>86997.08333333333</c:v>
                </c:pt>
                <c:pt idx="27">
                  <c:v>99168.5</c:v>
                </c:pt>
                <c:pt idx="28">
                  <c:v>87831.41666666667</c:v>
                </c:pt>
                <c:pt idx="29">
                  <c:v>84806.83333333333</c:v>
                </c:pt>
                <c:pt idx="30">
                  <c:v>88713.75</c:v>
                </c:pt>
                <c:pt idx="31">
                  <c:v>91841.08333333333</c:v>
                </c:pt>
                <c:pt idx="32">
                  <c:v>96358.5</c:v>
                </c:pt>
                <c:pt idx="33">
                  <c:v>82862.75</c:v>
                </c:pt>
                <c:pt idx="34">
                  <c:v>65280.91666666666</c:v>
                </c:pt>
                <c:pt idx="35">
                  <c:v>58938.25</c:v>
                </c:pt>
                <c:pt idx="36">
                  <c:v>27858.0</c:v>
                </c:pt>
                <c:pt idx="37">
                  <c:v>30038.16666666667</c:v>
                </c:pt>
                <c:pt idx="38">
                  <c:v>4028.0</c:v>
                </c:pt>
                <c:pt idx="39">
                  <c:v>6989.75</c:v>
                </c:pt>
                <c:pt idx="40">
                  <c:v>20956.08333333333</c:v>
                </c:pt>
                <c:pt idx="41">
                  <c:v>18152.16666666667</c:v>
                </c:pt>
                <c:pt idx="42">
                  <c:v>20094.83333333333</c:v>
                </c:pt>
                <c:pt idx="43">
                  <c:v>17955.25</c:v>
                </c:pt>
                <c:pt idx="44">
                  <c:v>8537.833333333334</c:v>
                </c:pt>
                <c:pt idx="45">
                  <c:v>35498.58333333334</c:v>
                </c:pt>
                <c:pt idx="46">
                  <c:v>68303.0</c:v>
                </c:pt>
                <c:pt idx="47">
                  <c:v>88011.08333333333</c:v>
                </c:pt>
                <c:pt idx="48">
                  <c:v>114867.5833333333</c:v>
                </c:pt>
                <c:pt idx="49">
                  <c:v>117098.25</c:v>
                </c:pt>
                <c:pt idx="50">
                  <c:v>127702.25</c:v>
                </c:pt>
                <c:pt idx="51">
                  <c:v>123820.0833333333</c:v>
                </c:pt>
                <c:pt idx="52">
                  <c:v>121706.5833333333</c:v>
                </c:pt>
                <c:pt idx="53">
                  <c:v>122691.3333333333</c:v>
                </c:pt>
                <c:pt idx="54">
                  <c:v>136044.5833333333</c:v>
                </c:pt>
                <c:pt idx="55">
                  <c:v>132920.4166666667</c:v>
                </c:pt>
                <c:pt idx="56">
                  <c:v>126839.0</c:v>
                </c:pt>
                <c:pt idx="57">
                  <c:v>103108.9166666667</c:v>
                </c:pt>
                <c:pt idx="58">
                  <c:v>54478.58333333334</c:v>
                </c:pt>
                <c:pt idx="59">
                  <c:v>1833.333333333333</c:v>
                </c:pt>
                <c:pt idx="60">
                  <c:v>1153.416666666667</c:v>
                </c:pt>
                <c:pt idx="61">
                  <c:v>-4700.583333333333</c:v>
                </c:pt>
                <c:pt idx="62">
                  <c:v>-5902.916666666666</c:v>
                </c:pt>
                <c:pt idx="63">
                  <c:v>-1299.083333333333</c:v>
                </c:pt>
                <c:pt idx="64">
                  <c:v>-3202.205833333333</c:v>
                </c:pt>
                <c:pt idx="65">
                  <c:v>2161.607500000001</c:v>
                </c:pt>
                <c:pt idx="66">
                  <c:v>-27688.80916666666</c:v>
                </c:pt>
                <c:pt idx="67">
                  <c:v>-31554.8925</c:v>
                </c:pt>
                <c:pt idx="68">
                  <c:v>-32506.19166666666</c:v>
                </c:pt>
                <c:pt idx="69">
                  <c:v>-26112.60833333333</c:v>
                </c:pt>
                <c:pt idx="70">
                  <c:v>14998.98583333334</c:v>
                </c:pt>
                <c:pt idx="71">
                  <c:v>52526.17833333334</c:v>
                </c:pt>
              </c:numCache>
            </c:numRef>
          </c:val>
          <c:smooth val="0"/>
        </c:ser>
        <c:ser>
          <c:idx val="4"/>
          <c:order val="4"/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CF305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'Month S&amp;P'!$E$3:$E$319</c:f>
              <c:numCache>
                <c:formatCode>#,##0_);[Red]\(#,##0\)</c:formatCode>
                <c:ptCount val="317"/>
                <c:pt idx="12">
                  <c:v>53933.0</c:v>
                </c:pt>
                <c:pt idx="13">
                  <c:v>36323.83333333334</c:v>
                </c:pt>
                <c:pt idx="14">
                  <c:v>31306.75</c:v>
                </c:pt>
                <c:pt idx="15">
                  <c:v>31788.83333333333</c:v>
                </c:pt>
                <c:pt idx="16">
                  <c:v>42506.75</c:v>
                </c:pt>
                <c:pt idx="17">
                  <c:v>46353.16666666666</c:v>
                </c:pt>
                <c:pt idx="18">
                  <c:v>32169.25</c:v>
                </c:pt>
                <c:pt idx="19">
                  <c:v>29423.16666666667</c:v>
                </c:pt>
                <c:pt idx="20">
                  <c:v>26825.58333333333</c:v>
                </c:pt>
                <c:pt idx="21">
                  <c:v>27685.33333333333</c:v>
                </c:pt>
                <c:pt idx="22">
                  <c:v>36111.41666666666</c:v>
                </c:pt>
                <c:pt idx="23">
                  <c:v>58498.08333333334</c:v>
                </c:pt>
                <c:pt idx="24">
                  <c:v>64637.08333333334</c:v>
                </c:pt>
                <c:pt idx="25">
                  <c:v>61514.58333333334</c:v>
                </c:pt>
                <c:pt idx="26">
                  <c:v>86997.08333333333</c:v>
                </c:pt>
                <c:pt idx="27">
                  <c:v>99168.5</c:v>
                </c:pt>
                <c:pt idx="28">
                  <c:v>87831.41666666667</c:v>
                </c:pt>
                <c:pt idx="29">
                  <c:v>84806.83333333333</c:v>
                </c:pt>
                <c:pt idx="30">
                  <c:v>88713.75</c:v>
                </c:pt>
                <c:pt idx="31">
                  <c:v>91841.08333333333</c:v>
                </c:pt>
                <c:pt idx="32">
                  <c:v>96358.5</c:v>
                </c:pt>
                <c:pt idx="33">
                  <c:v>82862.75</c:v>
                </c:pt>
                <c:pt idx="34">
                  <c:v>65280.91666666666</c:v>
                </c:pt>
                <c:pt idx="35">
                  <c:v>58938.25</c:v>
                </c:pt>
                <c:pt idx="36">
                  <c:v>27858.0</c:v>
                </c:pt>
                <c:pt idx="37">
                  <c:v>30038.16666666667</c:v>
                </c:pt>
                <c:pt idx="38">
                  <c:v>4028.0</c:v>
                </c:pt>
                <c:pt idx="39">
                  <c:v>6989.75</c:v>
                </c:pt>
                <c:pt idx="40">
                  <c:v>20956.08333333333</c:v>
                </c:pt>
                <c:pt idx="41">
                  <c:v>18152.16666666667</c:v>
                </c:pt>
                <c:pt idx="42">
                  <c:v>20094.83333333333</c:v>
                </c:pt>
                <c:pt idx="43">
                  <c:v>17955.25</c:v>
                </c:pt>
                <c:pt idx="44">
                  <c:v>8537.833333333334</c:v>
                </c:pt>
                <c:pt idx="45">
                  <c:v>35498.58333333334</c:v>
                </c:pt>
                <c:pt idx="46">
                  <c:v>68303.0</c:v>
                </c:pt>
                <c:pt idx="47">
                  <c:v>88011.08333333333</c:v>
                </c:pt>
                <c:pt idx="48">
                  <c:v>114867.5833333333</c:v>
                </c:pt>
                <c:pt idx="49">
                  <c:v>117098.25</c:v>
                </c:pt>
                <c:pt idx="50">
                  <c:v>127702.25</c:v>
                </c:pt>
                <c:pt idx="51">
                  <c:v>123820.0833333333</c:v>
                </c:pt>
                <c:pt idx="52">
                  <c:v>121706.5833333333</c:v>
                </c:pt>
                <c:pt idx="53">
                  <c:v>122691.3333333333</c:v>
                </c:pt>
                <c:pt idx="54">
                  <c:v>136044.5833333333</c:v>
                </c:pt>
                <c:pt idx="55">
                  <c:v>132920.4166666667</c:v>
                </c:pt>
                <c:pt idx="56">
                  <c:v>126839.0</c:v>
                </c:pt>
                <c:pt idx="57">
                  <c:v>103108.9166666667</c:v>
                </c:pt>
                <c:pt idx="58">
                  <c:v>54478.58333333334</c:v>
                </c:pt>
                <c:pt idx="59">
                  <c:v>1833.333333333333</c:v>
                </c:pt>
                <c:pt idx="60">
                  <c:v>1153.416666666667</c:v>
                </c:pt>
                <c:pt idx="61">
                  <c:v>-4700.583333333333</c:v>
                </c:pt>
                <c:pt idx="62">
                  <c:v>-5902.916666666666</c:v>
                </c:pt>
                <c:pt idx="63">
                  <c:v>-1299.083333333333</c:v>
                </c:pt>
                <c:pt idx="64">
                  <c:v>-3202.205833333333</c:v>
                </c:pt>
                <c:pt idx="65">
                  <c:v>2161.607500000001</c:v>
                </c:pt>
                <c:pt idx="66">
                  <c:v>-27688.80916666666</c:v>
                </c:pt>
                <c:pt idx="67">
                  <c:v>-31554.8925</c:v>
                </c:pt>
                <c:pt idx="68">
                  <c:v>-32506.19166666666</c:v>
                </c:pt>
                <c:pt idx="69">
                  <c:v>-26112.60833333333</c:v>
                </c:pt>
                <c:pt idx="70">
                  <c:v>14998.98583333334</c:v>
                </c:pt>
                <c:pt idx="71">
                  <c:v>52526.17833333334</c:v>
                </c:pt>
                <c:pt idx="72">
                  <c:v>26196.51166666668</c:v>
                </c:pt>
                <c:pt idx="73">
                  <c:v>25751.40083333335</c:v>
                </c:pt>
                <c:pt idx="74">
                  <c:v>29946.90083333335</c:v>
                </c:pt>
                <c:pt idx="75">
                  <c:v>20159.06750000002</c:v>
                </c:pt>
                <c:pt idx="76">
                  <c:v>-5039.182499999995</c:v>
                </c:pt>
                <c:pt idx="77">
                  <c:v>7851.310833333336</c:v>
                </c:pt>
                <c:pt idx="78">
                  <c:v>2447.39416666667</c:v>
                </c:pt>
                <c:pt idx="79">
                  <c:v>11441.39416666667</c:v>
                </c:pt>
                <c:pt idx="80">
                  <c:v>26783.52666666667</c:v>
                </c:pt>
                <c:pt idx="81">
                  <c:v>31108.19333333333</c:v>
                </c:pt>
                <c:pt idx="82">
                  <c:v>39289.9325</c:v>
                </c:pt>
                <c:pt idx="83">
                  <c:v>37661.90666666667</c:v>
                </c:pt>
                <c:pt idx="84">
                  <c:v>702.1954583333305</c:v>
                </c:pt>
                <c:pt idx="85">
                  <c:v>44844.56383333333</c:v>
                </c:pt>
                <c:pt idx="86">
                  <c:v>33960.77508333333</c:v>
                </c:pt>
                <c:pt idx="87">
                  <c:v>17696.62812499999</c:v>
                </c:pt>
                <c:pt idx="88">
                  <c:v>20737.090125</c:v>
                </c:pt>
                <c:pt idx="89">
                  <c:v>-13383.489875</c:v>
                </c:pt>
                <c:pt idx="90">
                  <c:v>-9787.804250000004</c:v>
                </c:pt>
                <c:pt idx="91">
                  <c:v>2827.404750000002</c:v>
                </c:pt>
                <c:pt idx="92">
                  <c:v>-12056.34141666666</c:v>
                </c:pt>
                <c:pt idx="93">
                  <c:v>-24926.22170833333</c:v>
                </c:pt>
                <c:pt idx="94">
                  <c:v>-28177.58241666668</c:v>
                </c:pt>
                <c:pt idx="95">
                  <c:v>-45758.26558333335</c:v>
                </c:pt>
                <c:pt idx="96">
                  <c:v>-35665.63125000001</c:v>
                </c:pt>
                <c:pt idx="97">
                  <c:v>-19139.51275</c:v>
                </c:pt>
                <c:pt idx="98">
                  <c:v>-36694.14000000001</c:v>
                </c:pt>
                <c:pt idx="99">
                  <c:v>-18645.98970833334</c:v>
                </c:pt>
                <c:pt idx="100">
                  <c:v>6161.930791666667</c:v>
                </c:pt>
                <c:pt idx="101">
                  <c:v>9757.12704166666</c:v>
                </c:pt>
                <c:pt idx="102">
                  <c:v>-13361.53566666666</c:v>
                </c:pt>
                <c:pt idx="103">
                  <c:v>-34255.94258333334</c:v>
                </c:pt>
                <c:pt idx="104">
                  <c:v>-30019.90975</c:v>
                </c:pt>
                <c:pt idx="105">
                  <c:v>-52299.500125</c:v>
                </c:pt>
                <c:pt idx="106">
                  <c:v>-59023.87008333334</c:v>
                </c:pt>
                <c:pt idx="107">
                  <c:v>-26655.29358333334</c:v>
                </c:pt>
                <c:pt idx="108">
                  <c:v>-6612.57116666667</c:v>
                </c:pt>
                <c:pt idx="109">
                  <c:v>-17340.96875</c:v>
                </c:pt>
                <c:pt idx="110">
                  <c:v>2550.918916666668</c:v>
                </c:pt>
                <c:pt idx="111">
                  <c:v>-14477.12883333333</c:v>
                </c:pt>
                <c:pt idx="112">
                  <c:v>-24312.79625</c:v>
                </c:pt>
                <c:pt idx="113">
                  <c:v>-34913.11191666667</c:v>
                </c:pt>
                <c:pt idx="114">
                  <c:v>-13505.06158333333</c:v>
                </c:pt>
                <c:pt idx="115">
                  <c:v>-14423.22833333333</c:v>
                </c:pt>
                <c:pt idx="116">
                  <c:v>-16186.10716666666</c:v>
                </c:pt>
                <c:pt idx="117">
                  <c:v>23447.32125</c:v>
                </c:pt>
                <c:pt idx="118">
                  <c:v>12981.74775</c:v>
                </c:pt>
                <c:pt idx="119">
                  <c:v>3020.188583333335</c:v>
                </c:pt>
                <c:pt idx="120">
                  <c:v>3490.79966666667</c:v>
                </c:pt>
                <c:pt idx="121">
                  <c:v>-13888.01875</c:v>
                </c:pt>
                <c:pt idx="122">
                  <c:v>-26165.15708333334</c:v>
                </c:pt>
                <c:pt idx="123">
                  <c:v>-10902.696</c:v>
                </c:pt>
                <c:pt idx="124">
                  <c:v>-35319.53858333333</c:v>
                </c:pt>
                <c:pt idx="125">
                  <c:v>-22106.14583333333</c:v>
                </c:pt>
                <c:pt idx="126">
                  <c:v>-17144.05241666667</c:v>
                </c:pt>
                <c:pt idx="127">
                  <c:v>-28826.02108333333</c:v>
                </c:pt>
                <c:pt idx="128">
                  <c:v>-69406.17891666667</c:v>
                </c:pt>
                <c:pt idx="129">
                  <c:v>-75619.88666666667</c:v>
                </c:pt>
                <c:pt idx="130">
                  <c:v>-66953.16583333333</c:v>
                </c:pt>
                <c:pt idx="131">
                  <c:v>-70413.33333333333</c:v>
                </c:pt>
                <c:pt idx="132">
                  <c:v>-59409.0</c:v>
                </c:pt>
                <c:pt idx="133">
                  <c:v>-47754.33333333334</c:v>
                </c:pt>
                <c:pt idx="134">
                  <c:v>-14374.75</c:v>
                </c:pt>
                <c:pt idx="135">
                  <c:v>-7168.833333333333</c:v>
                </c:pt>
                <c:pt idx="136">
                  <c:v>25528.16666666667</c:v>
                </c:pt>
                <c:pt idx="137">
                  <c:v>29308.91666666667</c:v>
                </c:pt>
                <c:pt idx="138">
                  <c:v>47339.66666666666</c:v>
                </c:pt>
                <c:pt idx="139">
                  <c:v>63789.0</c:v>
                </c:pt>
                <c:pt idx="140">
                  <c:v>112469.9166666667</c:v>
                </c:pt>
                <c:pt idx="141">
                  <c:v>97970.58333333333</c:v>
                </c:pt>
                <c:pt idx="142">
                  <c:v>95059.25</c:v>
                </c:pt>
                <c:pt idx="143">
                  <c:v>93492.08333333333</c:v>
                </c:pt>
                <c:pt idx="144">
                  <c:v>82892.75</c:v>
                </c:pt>
                <c:pt idx="145">
                  <c:v>97225.5</c:v>
                </c:pt>
                <c:pt idx="146">
                  <c:v>99224.58333333333</c:v>
                </c:pt>
                <c:pt idx="147">
                  <c:v>92743.33333333333</c:v>
                </c:pt>
                <c:pt idx="148">
                  <c:v>118465.25</c:v>
                </c:pt>
                <c:pt idx="149">
                  <c:v>135679.6666666667</c:v>
                </c:pt>
                <c:pt idx="150">
                  <c:v>132464.4166666667</c:v>
                </c:pt>
                <c:pt idx="151">
                  <c:v>138320.75</c:v>
                </c:pt>
                <c:pt idx="152">
                  <c:v>145359.9166666667</c:v>
                </c:pt>
                <c:pt idx="153">
                  <c:v>165699.8333333333</c:v>
                </c:pt>
                <c:pt idx="154">
                  <c:v>151995.5</c:v>
                </c:pt>
                <c:pt idx="155">
                  <c:v>155058.1666666667</c:v>
                </c:pt>
                <c:pt idx="156">
                  <c:v>153123.6666666667</c:v>
                </c:pt>
                <c:pt idx="157">
                  <c:v>166923.4166666667</c:v>
                </c:pt>
                <c:pt idx="158">
                  <c:v>165008.75</c:v>
                </c:pt>
                <c:pt idx="159">
                  <c:v>202248.0</c:v>
                </c:pt>
                <c:pt idx="160">
                  <c:v>197765.0</c:v>
                </c:pt>
                <c:pt idx="161">
                  <c:v>211656.9166666667</c:v>
                </c:pt>
                <c:pt idx="162">
                  <c:v>201825.0833333333</c:v>
                </c:pt>
                <c:pt idx="163">
                  <c:v>205008.25</c:v>
                </c:pt>
                <c:pt idx="164">
                  <c:v>193729.8333333333</c:v>
                </c:pt>
                <c:pt idx="165">
                  <c:v>228416.9166666667</c:v>
                </c:pt>
                <c:pt idx="166">
                  <c:v>237156.25</c:v>
                </c:pt>
                <c:pt idx="167">
                  <c:v>219976.4166666667</c:v>
                </c:pt>
                <c:pt idx="168">
                  <c:v>208810.9166666667</c:v>
                </c:pt>
                <c:pt idx="169">
                  <c:v>188465.0</c:v>
                </c:pt>
                <c:pt idx="170">
                  <c:v>210884.1666666667</c:v>
                </c:pt>
                <c:pt idx="171">
                  <c:v>177253.25</c:v>
                </c:pt>
                <c:pt idx="172">
                  <c:v>177591.75</c:v>
                </c:pt>
                <c:pt idx="173">
                  <c:v>148289.0</c:v>
                </c:pt>
                <c:pt idx="174">
                  <c:v>126779.8333333333</c:v>
                </c:pt>
                <c:pt idx="175">
                  <c:v>89497.08333333333</c:v>
                </c:pt>
                <c:pt idx="176">
                  <c:v>80349.58333333333</c:v>
                </c:pt>
                <c:pt idx="177">
                  <c:v>25512.58333333333</c:v>
                </c:pt>
                <c:pt idx="178">
                  <c:v>35049.0</c:v>
                </c:pt>
                <c:pt idx="179">
                  <c:v>44025.16666666666</c:v>
                </c:pt>
                <c:pt idx="180">
                  <c:v>35082.58333333334</c:v>
                </c:pt>
                <c:pt idx="181">
                  <c:v>34766.5</c:v>
                </c:pt>
                <c:pt idx="182">
                  <c:v>-9508.25</c:v>
                </c:pt>
                <c:pt idx="183">
                  <c:v>7090.166666666666</c:v>
                </c:pt>
                <c:pt idx="184">
                  <c:v>-12292.41666666667</c:v>
                </c:pt>
                <c:pt idx="185">
                  <c:v>20218.58333333333</c:v>
                </c:pt>
                <c:pt idx="186">
                  <c:v>39731.41666666666</c:v>
                </c:pt>
                <c:pt idx="187">
                  <c:v>80055.58333333333</c:v>
                </c:pt>
                <c:pt idx="188">
                  <c:v>98737.16666666667</c:v>
                </c:pt>
                <c:pt idx="189">
                  <c:v>100717.25</c:v>
                </c:pt>
                <c:pt idx="190">
                  <c:v>96676.5</c:v>
                </c:pt>
                <c:pt idx="191">
                  <c:v>79341.33333333333</c:v>
                </c:pt>
                <c:pt idx="192">
                  <c:v>89695.5</c:v>
                </c:pt>
                <c:pt idx="193">
                  <c:v>68964.58333333333</c:v>
                </c:pt>
                <c:pt idx="194">
                  <c:v>96653.91666666667</c:v>
                </c:pt>
                <c:pt idx="195">
                  <c:v>68372.33333333333</c:v>
                </c:pt>
                <c:pt idx="196">
                  <c:v>43615.91666666666</c:v>
                </c:pt>
                <c:pt idx="197">
                  <c:v>37495.75</c:v>
                </c:pt>
                <c:pt idx="198">
                  <c:v>6397.083333333333</c:v>
                </c:pt>
                <c:pt idx="199">
                  <c:v>-23459.66666666667</c:v>
                </c:pt>
                <c:pt idx="200">
                  <c:v>-22533.83333333333</c:v>
                </c:pt>
                <c:pt idx="201">
                  <c:v>-3977.833333333333</c:v>
                </c:pt>
                <c:pt idx="202">
                  <c:v>-26194.66666666667</c:v>
                </c:pt>
                <c:pt idx="203">
                  <c:v>-21091.16666666667</c:v>
                </c:pt>
                <c:pt idx="204">
                  <c:v>-40863.33333333334</c:v>
                </c:pt>
                <c:pt idx="205">
                  <c:v>-44752.58333333334</c:v>
                </c:pt>
                <c:pt idx="206">
                  <c:v>-35601.33333333334</c:v>
                </c:pt>
                <c:pt idx="207">
                  <c:v>-11597.75</c:v>
                </c:pt>
                <c:pt idx="208">
                  <c:v>35715.5</c:v>
                </c:pt>
                <c:pt idx="209">
                  <c:v>20121.58333333333</c:v>
                </c:pt>
                <c:pt idx="210">
                  <c:v>22094.75</c:v>
                </c:pt>
                <c:pt idx="211">
                  <c:v>36316.91666666666</c:v>
                </c:pt>
                <c:pt idx="212">
                  <c:v>22589.75</c:v>
                </c:pt>
                <c:pt idx="213">
                  <c:v>-144.5833333333333</c:v>
                </c:pt>
                <c:pt idx="214">
                  <c:v>5701.166666666666</c:v>
                </c:pt>
                <c:pt idx="215">
                  <c:v>13808.5</c:v>
                </c:pt>
                <c:pt idx="216">
                  <c:v>32180.5</c:v>
                </c:pt>
                <c:pt idx="217">
                  <c:v>61059.33333333334</c:v>
                </c:pt>
                <c:pt idx="218">
                  <c:v>24797.08333333333</c:v>
                </c:pt>
                <c:pt idx="219">
                  <c:v>11903.41666666667</c:v>
                </c:pt>
                <c:pt idx="220">
                  <c:v>-7124.916666666666</c:v>
                </c:pt>
                <c:pt idx="221">
                  <c:v>-25512.16666666667</c:v>
                </c:pt>
                <c:pt idx="222">
                  <c:v>-5616.833333333333</c:v>
                </c:pt>
                <c:pt idx="223">
                  <c:v>-17843.66666666667</c:v>
                </c:pt>
                <c:pt idx="224">
                  <c:v>-27607.16666666667</c:v>
                </c:pt>
                <c:pt idx="225">
                  <c:v>-11688.25</c:v>
                </c:pt>
                <c:pt idx="226">
                  <c:v>13842.75</c:v>
                </c:pt>
                <c:pt idx="227">
                  <c:v>6367.0</c:v>
                </c:pt>
                <c:pt idx="228">
                  <c:v>-6816.166666666666</c:v>
                </c:pt>
                <c:pt idx="229">
                  <c:v>-35847.5</c:v>
                </c:pt>
                <c:pt idx="230">
                  <c:v>-33563.5</c:v>
                </c:pt>
                <c:pt idx="231">
                  <c:v>-19852.41666666667</c:v>
                </c:pt>
                <c:pt idx="232">
                  <c:v>-28064.58333333333</c:v>
                </c:pt>
                <c:pt idx="233">
                  <c:v>36514.5</c:v>
                </c:pt>
                <c:pt idx="234">
                  <c:v>64926.58333333334</c:v>
                </c:pt>
                <c:pt idx="235">
                  <c:v>83030.66666666667</c:v>
                </c:pt>
                <c:pt idx="236">
                  <c:v>100654.1666666667</c:v>
                </c:pt>
                <c:pt idx="237">
                  <c:v>121346.3333333333</c:v>
                </c:pt>
                <c:pt idx="238">
                  <c:v>109807.0833333333</c:v>
                </c:pt>
                <c:pt idx="239">
                  <c:v>122622.6666666667</c:v>
                </c:pt>
                <c:pt idx="240">
                  <c:v>148507.9166666667</c:v>
                </c:pt>
                <c:pt idx="241">
                  <c:v>184276.3333333333</c:v>
                </c:pt>
                <c:pt idx="242">
                  <c:v>194942.1666666667</c:v>
                </c:pt>
                <c:pt idx="243">
                  <c:v>228439.4166666667</c:v>
                </c:pt>
                <c:pt idx="244">
                  <c:v>271280.1666666667</c:v>
                </c:pt>
                <c:pt idx="245">
                  <c:v>269437.0833333333</c:v>
                </c:pt>
                <c:pt idx="246">
                  <c:v>298241.8333333333</c:v>
                </c:pt>
                <c:pt idx="247">
                  <c:v>324777.3333333333</c:v>
                </c:pt>
                <c:pt idx="248">
                  <c:v>352519.75</c:v>
                </c:pt>
                <c:pt idx="249">
                  <c:v>376408.75</c:v>
                </c:pt>
                <c:pt idx="250">
                  <c:v>369264.5</c:v>
                </c:pt>
                <c:pt idx="251">
                  <c:v>363982.3333333333</c:v>
                </c:pt>
                <c:pt idx="252">
                  <c:v>344048.1666666667</c:v>
                </c:pt>
                <c:pt idx="253">
                  <c:v>338700.75</c:v>
                </c:pt>
                <c:pt idx="254">
                  <c:v>356273.0833333333</c:v>
                </c:pt>
                <c:pt idx="255">
                  <c:v>314406.5833333333</c:v>
                </c:pt>
                <c:pt idx="256">
                  <c:v>243303.9166666667</c:v>
                </c:pt>
                <c:pt idx="257">
                  <c:v>194846.75</c:v>
                </c:pt>
                <c:pt idx="258">
                  <c:v>158488.6666666667</c:v>
                </c:pt>
                <c:pt idx="259">
                  <c:v>158535.75</c:v>
                </c:pt>
                <c:pt idx="260">
                  <c:v>116573.3333333333</c:v>
                </c:pt>
                <c:pt idx="261">
                  <c:v>54998.16666666666</c:v>
                </c:pt>
                <c:pt idx="262">
                  <c:v>52216.25</c:v>
                </c:pt>
                <c:pt idx="263">
                  <c:v>45481.16666666666</c:v>
                </c:pt>
                <c:pt idx="264">
                  <c:v>27120.5</c:v>
                </c:pt>
                <c:pt idx="265">
                  <c:v>-2927.333333333333</c:v>
                </c:pt>
                <c:pt idx="266">
                  <c:v>-58288.75</c:v>
                </c:pt>
                <c:pt idx="267">
                  <c:v>-14612.08333333333</c:v>
                </c:pt>
                <c:pt idx="268">
                  <c:v>53623.5</c:v>
                </c:pt>
                <c:pt idx="269">
                  <c:v>99838.66666666667</c:v>
                </c:pt>
                <c:pt idx="270">
                  <c:v>96694.33333333333</c:v>
                </c:pt>
                <c:pt idx="271">
                  <c:v>95632.25</c:v>
                </c:pt>
                <c:pt idx="272">
                  <c:v>117490.0833333333</c:v>
                </c:pt>
                <c:pt idx="273">
                  <c:v>123844.1666666667</c:v>
                </c:pt>
                <c:pt idx="274">
                  <c:v>133153.5</c:v>
                </c:pt>
                <c:pt idx="275">
                  <c:v>161429.4166666667</c:v>
                </c:pt>
                <c:pt idx="276">
                  <c:v>189578.6666666667</c:v>
                </c:pt>
                <c:pt idx="277">
                  <c:v>212610.8333333333</c:v>
                </c:pt>
                <c:pt idx="278">
                  <c:v>249339.25</c:v>
                </c:pt>
                <c:pt idx="279">
                  <c:v>221679.4166666667</c:v>
                </c:pt>
                <c:pt idx="280">
                  <c:v>218411.0</c:v>
                </c:pt>
                <c:pt idx="281">
                  <c:v>195556.6666666667</c:v>
                </c:pt>
                <c:pt idx="282">
                  <c:v>200082.6666666667</c:v>
                </c:pt>
                <c:pt idx="283">
                  <c:v>214879.3333333333</c:v>
                </c:pt>
                <c:pt idx="284">
                  <c:v>213136.6666666667</c:v>
                </c:pt>
                <c:pt idx="285">
                  <c:v>225927.5</c:v>
                </c:pt>
                <c:pt idx="286">
                  <c:v>230136.8333333333</c:v>
                </c:pt>
                <c:pt idx="287">
                  <c:v>162142.75</c:v>
                </c:pt>
                <c:pt idx="288">
                  <c:v>142858.0833333333</c:v>
                </c:pt>
                <c:pt idx="289">
                  <c:v>120173.1666666667</c:v>
                </c:pt>
                <c:pt idx="290">
                  <c:v>79415.16666666667</c:v>
                </c:pt>
                <c:pt idx="291">
                  <c:v>34840.0</c:v>
                </c:pt>
                <c:pt idx="292">
                  <c:v>24025.66666666667</c:v>
                </c:pt>
                <c:pt idx="293">
                  <c:v>6793.166666666666</c:v>
                </c:pt>
                <c:pt idx="294">
                  <c:v>-5359.0</c:v>
                </c:pt>
                <c:pt idx="295">
                  <c:v>-21909.75</c:v>
                </c:pt>
                <c:pt idx="296">
                  <c:v>-62418.33333333334</c:v>
                </c:pt>
                <c:pt idx="297">
                  <c:v>-46053.41666666666</c:v>
                </c:pt>
                <c:pt idx="298">
                  <c:v>-68077.75</c:v>
                </c:pt>
                <c:pt idx="299">
                  <c:v>4783.166666666666</c:v>
                </c:pt>
                <c:pt idx="300">
                  <c:v>14253.16666666667</c:v>
                </c:pt>
                <c:pt idx="301">
                  <c:v>26318.16666666667</c:v>
                </c:pt>
                <c:pt idx="302">
                  <c:v>50396.75</c:v>
                </c:pt>
                <c:pt idx="303">
                  <c:v>88291.0</c:v>
                </c:pt>
                <c:pt idx="304">
                  <c:v>40678.5</c:v>
                </c:pt>
                <c:pt idx="305">
                  <c:v>27717.91666666667</c:v>
                </c:pt>
                <c:pt idx="306">
                  <c:v>31637.08333333333</c:v>
                </c:pt>
                <c:pt idx="307">
                  <c:v>-375.0</c:v>
                </c:pt>
                <c:pt idx="308">
                  <c:v>61424.16666666666</c:v>
                </c:pt>
                <c:pt idx="309">
                  <c:v>53197.16666666666</c:v>
                </c:pt>
                <c:pt idx="310">
                  <c:v>64103.41666666666</c:v>
                </c:pt>
                <c:pt idx="311">
                  <c:v>47760.58333333334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333544"/>
        <c:axId val="-2057029688"/>
      </c:lineChart>
      <c:catAx>
        <c:axId val="21023335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7029688"/>
        <c:crosses val="autoZero"/>
        <c:auto val="0"/>
        <c:lblAlgn val="ctr"/>
        <c:lblOffset val="100"/>
        <c:tickLblSkip val="4"/>
        <c:tickMarkSkip val="4"/>
        <c:noMultiLvlLbl val="0"/>
      </c:catAx>
      <c:valAx>
        <c:axId val="-2057029688"/>
        <c:scaling>
          <c:orientation val="minMax"/>
        </c:scaling>
        <c:delete val="0"/>
        <c:axPos val="l"/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1023335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Footer>&amp;C&amp;D&amp;R&amp;T</c:oddFooter>
    </c:headerFooter>
    <c:pageMargins b="1.0" l="0.05" r="0.75" t="1.0" header="0.5" footer="0.5"/>
    <c:pageSetup orientation="landscape" horizontalDpi="-4" verticalDpi="-4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Yearly Profit vs Sales</a:t>
            </a:r>
          </a:p>
        </c:rich>
      </c:tx>
      <c:layout>
        <c:manualLayout>
          <c:xMode val="edge"/>
          <c:yMode val="edge"/>
          <c:x val="0.423703703703704"/>
          <c:y val="0.02077922077922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555555555556"/>
          <c:y val="0.0675324675324675"/>
          <c:w val="0.748148148148148"/>
          <c:h val="0.836363636363636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20"/>
            <c:spPr>
              <a:solidFill>
                <a:srgbClr val="FFFF00"/>
              </a:solidFill>
              <a:ln>
                <a:solidFill>
                  <a:srgbClr val="00009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'Month S&amp;P'!$AC$32:$AC$57</c:f>
              <c:numCache>
                <c:formatCode>General_)</c:formatCode>
                <c:ptCount val="26"/>
                <c:pt idx="0">
                  <c:v>5.847461E6</c:v>
                </c:pt>
                <c:pt idx="1">
                  <c:v>7.893246E6</c:v>
                </c:pt>
                <c:pt idx="2">
                  <c:v>1.0767442E7</c:v>
                </c:pt>
                <c:pt idx="3">
                  <c:v>1.4098241E7</c:v>
                </c:pt>
                <c:pt idx="4">
                  <c:v>1.6027667E7</c:v>
                </c:pt>
                <c:pt idx="5">
                  <c:v>1.571177055E7</c:v>
                </c:pt>
                <c:pt idx="6">
                  <c:v>1.855742575E7</c:v>
                </c:pt>
                <c:pt idx="7">
                  <c:v>1.65008580216E7</c:v>
                </c:pt>
                <c:pt idx="8">
                  <c:v>1.49488642912E7</c:v>
                </c:pt>
                <c:pt idx="9">
                  <c:v>1.3105212708E7</c:v>
                </c:pt>
                <c:pt idx="10">
                  <c:v>1.162544E7</c:v>
                </c:pt>
                <c:pt idx="11">
                  <c:v>1.1939454E7</c:v>
                </c:pt>
                <c:pt idx="12">
                  <c:v>1.3489594E7</c:v>
                </c:pt>
                <c:pt idx="13">
                  <c:v>1.6240418E7</c:v>
                </c:pt>
                <c:pt idx="14">
                  <c:v>1.3860911E7</c:v>
                </c:pt>
                <c:pt idx="15">
                  <c:v>1.4675E7</c:v>
                </c:pt>
                <c:pt idx="16">
                  <c:v>1.4009513E7</c:v>
                </c:pt>
                <c:pt idx="17">
                  <c:v>1.4915816E7</c:v>
                </c:pt>
                <c:pt idx="18">
                  <c:v>1.7041948E7</c:v>
                </c:pt>
                <c:pt idx="19">
                  <c:v>2.040193E7</c:v>
                </c:pt>
                <c:pt idx="20">
                  <c:v>2.6958692E7</c:v>
                </c:pt>
                <c:pt idx="21">
                  <c:v>2.1069013E7</c:v>
                </c:pt>
                <c:pt idx="22">
                  <c:v>2.3536046E7</c:v>
                </c:pt>
                <c:pt idx="23">
                  <c:v>2.4985368E7</c:v>
                </c:pt>
                <c:pt idx="24">
                  <c:v>2.1872689E7</c:v>
                </c:pt>
                <c:pt idx="25">
                  <c:v>1.8697398E7</c:v>
                </c:pt>
              </c:numCache>
            </c:numRef>
          </c:xVal>
          <c:yVal>
            <c:numRef>
              <c:f>'Month S&amp;P'!$AD$32:$AD$57</c:f>
              <c:numCache>
                <c:formatCode>General_)</c:formatCode>
                <c:ptCount val="26"/>
                <c:pt idx="0">
                  <c:v>637802.0</c:v>
                </c:pt>
                <c:pt idx="1">
                  <c:v>701977.0</c:v>
                </c:pt>
                <c:pt idx="2">
                  <c:v>707259.0</c:v>
                </c:pt>
                <c:pt idx="3">
                  <c:v>1.056133E6</c:v>
                </c:pt>
                <c:pt idx="4">
                  <c:v>22000.0</c:v>
                </c:pt>
                <c:pt idx="5">
                  <c:v>596859.14</c:v>
                </c:pt>
                <c:pt idx="6">
                  <c:v>451942.88</c:v>
                </c:pt>
                <c:pt idx="7">
                  <c:v>-549099.1870000002</c:v>
                </c:pt>
                <c:pt idx="8">
                  <c:v>-319863.523</c:v>
                </c:pt>
                <c:pt idx="9">
                  <c:v>36242.26300000002</c:v>
                </c:pt>
                <c:pt idx="10">
                  <c:v>-844960.0</c:v>
                </c:pt>
                <c:pt idx="11">
                  <c:v>1.121905E6</c:v>
                </c:pt>
                <c:pt idx="12">
                  <c:v>1.860698E6</c:v>
                </c:pt>
                <c:pt idx="13">
                  <c:v>2.639717E6</c:v>
                </c:pt>
                <c:pt idx="14">
                  <c:v>528302.0</c:v>
                </c:pt>
                <c:pt idx="15">
                  <c:v>952096.0</c:v>
                </c:pt>
                <c:pt idx="16">
                  <c:v>-253094.0</c:v>
                </c:pt>
                <c:pt idx="17">
                  <c:v>165702.0</c:v>
                </c:pt>
                <c:pt idx="18">
                  <c:v>76404.0</c:v>
                </c:pt>
                <c:pt idx="19">
                  <c:v>1.471472E6</c:v>
                </c:pt>
                <c:pt idx="20">
                  <c:v>4.367788E6</c:v>
                </c:pt>
                <c:pt idx="21">
                  <c:v>545774.0</c:v>
                </c:pt>
                <c:pt idx="22">
                  <c:v>1.937153E6</c:v>
                </c:pt>
                <c:pt idx="23">
                  <c:v>1.945713E6</c:v>
                </c:pt>
                <c:pt idx="24">
                  <c:v>57398.0</c:v>
                </c:pt>
                <c:pt idx="25">
                  <c:v>573127.0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7101688"/>
        <c:axId val="-2056276184"/>
      </c:scatterChart>
      <c:valAx>
        <c:axId val="-2057101688"/>
        <c:scaling>
          <c:orientation val="minMax"/>
          <c:min val="5.0E6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508148148148148"/>
              <c:y val="0.955844155844156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_);_(\$* \(#,##0\);_(\$* &quot;-&quot;_);_(@_)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6276184"/>
        <c:crosses val="autoZero"/>
        <c:crossBetween val="midCat"/>
        <c:majorUnit val="5.0E6"/>
        <c:minorUnit val="400000.0"/>
      </c:valAx>
      <c:valAx>
        <c:axId val="-2056276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46753246753247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7101688"/>
        <c:crossesAt val="5.0E6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A6CAF0" mc:Ignorable="a14" a14:legacySpreadsheetColorIndex="44">
                <a:alpha val="50000"/>
              </a:srgbClr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8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E3E3E3"/>
    </a:solidFill>
    <a:ln w="38100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12 Months S &amp; P</a:t>
            </a:r>
          </a:p>
        </c:rich>
      </c:tx>
      <c:layout>
        <c:manualLayout>
          <c:xMode val="edge"/>
          <c:yMode val="edge"/>
          <c:x val="0.38753387533875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1192411924"/>
          <c:y val="0.113289760348584"/>
          <c:w val="0.672086720867209"/>
          <c:h val="0.725490196078431"/>
        </c:manualLayout>
      </c:layout>
      <c:barChart>
        <c:barDir val="col"/>
        <c:grouping val="clustered"/>
        <c:varyColors val="0"/>
        <c:ser>
          <c:idx val="1"/>
          <c:order val="0"/>
          <c:tx>
            <c:v>Sales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S&amp;P'!$A$132:$A$316</c:f>
              <c:numCache>
                <c:formatCode>mmm\-yy</c:formatCode>
                <c:ptCount val="185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'Month S&amp;P'!$W$132:$W$316</c:f>
              <c:numCache>
                <c:formatCode>#,##0_);[Red]\(#,##0\)</c:formatCode>
                <c:ptCount val="185"/>
                <c:pt idx="0">
                  <c:v>1.196415685E7</c:v>
                </c:pt>
                <c:pt idx="1">
                  <c:v>1.1824944E7</c:v>
                </c:pt>
                <c:pt idx="2">
                  <c:v>1.162544E7</c:v>
                </c:pt>
                <c:pt idx="3">
                  <c:v>1.1613534E7</c:v>
                </c:pt>
                <c:pt idx="4">
                  <c:v>1.1537554E7</c:v>
                </c:pt>
                <c:pt idx="5">
                  <c:v>1.1639972E7</c:v>
                </c:pt>
                <c:pt idx="6">
                  <c:v>1.1636886E7</c:v>
                </c:pt>
                <c:pt idx="7">
                  <c:v>1.1784803E7</c:v>
                </c:pt>
                <c:pt idx="8">
                  <c:v>1.1667728E7</c:v>
                </c:pt>
                <c:pt idx="9">
                  <c:v>1.1681549E7</c:v>
                </c:pt>
                <c:pt idx="10">
                  <c:v>1.1677774E7</c:v>
                </c:pt>
                <c:pt idx="11">
                  <c:v>1.1913147E7</c:v>
                </c:pt>
                <c:pt idx="12">
                  <c:v>1.1727663E7</c:v>
                </c:pt>
                <c:pt idx="13">
                  <c:v>1.1771887E7</c:v>
                </c:pt>
                <c:pt idx="14">
                  <c:v>1.1939454E7</c:v>
                </c:pt>
                <c:pt idx="15">
                  <c:v>1.1913192E7</c:v>
                </c:pt>
                <c:pt idx="16">
                  <c:v>1.206972E7</c:v>
                </c:pt>
                <c:pt idx="17">
                  <c:v>1.2025332E7</c:v>
                </c:pt>
                <c:pt idx="18">
                  <c:v>1.1962178E7</c:v>
                </c:pt>
                <c:pt idx="19">
                  <c:v>1.2347027E7</c:v>
                </c:pt>
                <c:pt idx="20">
                  <c:v>1.2681465E7</c:v>
                </c:pt>
                <c:pt idx="21">
                  <c:v>1.2787377E7</c:v>
                </c:pt>
                <c:pt idx="22">
                  <c:v>1.305652E7</c:v>
                </c:pt>
                <c:pt idx="23">
                  <c:v>1.3241215E7</c:v>
                </c:pt>
                <c:pt idx="24">
                  <c:v>1.3542339E7</c:v>
                </c:pt>
                <c:pt idx="25">
                  <c:v>1.3451606E7</c:v>
                </c:pt>
                <c:pt idx="26">
                  <c:v>1.3489594E7</c:v>
                </c:pt>
                <c:pt idx="27">
                  <c:v>1.3521497E7</c:v>
                </c:pt>
                <c:pt idx="28">
                  <c:v>1.3821051E7</c:v>
                </c:pt>
                <c:pt idx="29">
                  <c:v>1.392195E7</c:v>
                </c:pt>
                <c:pt idx="30">
                  <c:v>1.4630369E7</c:v>
                </c:pt>
                <c:pt idx="31">
                  <c:v>1.4793124E7</c:v>
                </c:pt>
                <c:pt idx="32">
                  <c:v>1.5099857E7</c:v>
                </c:pt>
                <c:pt idx="33">
                  <c:v>1.5229458E7</c:v>
                </c:pt>
                <c:pt idx="34">
                  <c:v>1.5422722E7</c:v>
                </c:pt>
                <c:pt idx="35">
                  <c:v>1.5340433E7</c:v>
                </c:pt>
                <c:pt idx="36">
                  <c:v>1.6009777E7</c:v>
                </c:pt>
                <c:pt idx="37">
                  <c:v>1.6209922E7</c:v>
                </c:pt>
                <c:pt idx="38">
                  <c:v>1.6240418E7</c:v>
                </c:pt>
                <c:pt idx="39">
                  <c:v>1.6181796E7</c:v>
                </c:pt>
                <c:pt idx="40">
                  <c:v>1.6013352E7</c:v>
                </c:pt>
                <c:pt idx="41">
                  <c:v>1.6444814E7</c:v>
                </c:pt>
                <c:pt idx="42">
                  <c:v>1.6091041E7</c:v>
                </c:pt>
                <c:pt idx="43">
                  <c:v>1.6047146E7</c:v>
                </c:pt>
                <c:pt idx="44">
                  <c:v>1.5768754E7</c:v>
                </c:pt>
                <c:pt idx="45">
                  <c:v>1.5366718E7</c:v>
                </c:pt>
                <c:pt idx="46">
                  <c:v>1.4797851E7</c:v>
                </c:pt>
                <c:pt idx="47">
                  <c:v>1.4635611E7</c:v>
                </c:pt>
                <c:pt idx="48">
                  <c:v>1.3878325E7</c:v>
                </c:pt>
                <c:pt idx="49">
                  <c:v>1.4024322E7</c:v>
                </c:pt>
                <c:pt idx="50">
                  <c:v>1.3860911E7</c:v>
                </c:pt>
                <c:pt idx="51">
                  <c:v>1.367887E7</c:v>
                </c:pt>
                <c:pt idx="52">
                  <c:v>1.3562654E7</c:v>
                </c:pt>
                <c:pt idx="53">
                  <c:v>1.2867251E7</c:v>
                </c:pt>
                <c:pt idx="54">
                  <c:v>1.2913116E7</c:v>
                </c:pt>
                <c:pt idx="55">
                  <c:v>1.2723187E7</c:v>
                </c:pt>
                <c:pt idx="56">
                  <c:v>1.3117779E7</c:v>
                </c:pt>
                <c:pt idx="57">
                  <c:v>1.3680349E7</c:v>
                </c:pt>
                <c:pt idx="58">
                  <c:v>1.4249051E7</c:v>
                </c:pt>
                <c:pt idx="59">
                  <c:v>1.4504026E7</c:v>
                </c:pt>
                <c:pt idx="60">
                  <c:v>1.4629575E7</c:v>
                </c:pt>
                <c:pt idx="61">
                  <c:v>1.4573621E7</c:v>
                </c:pt>
                <c:pt idx="62">
                  <c:v>1.4675E7</c:v>
                </c:pt>
                <c:pt idx="63">
                  <c:v>1.5011442E7</c:v>
                </c:pt>
                <c:pt idx="64">
                  <c:v>1.4964161E7</c:v>
                </c:pt>
                <c:pt idx="65">
                  <c:v>1.5556643E7</c:v>
                </c:pt>
                <c:pt idx="66">
                  <c:v>1.5395744E7</c:v>
                </c:pt>
                <c:pt idx="67">
                  <c:v>1.5155572E7</c:v>
                </c:pt>
                <c:pt idx="68">
                  <c:v>1.5094467E7</c:v>
                </c:pt>
                <c:pt idx="69">
                  <c:v>1.4699039E7</c:v>
                </c:pt>
                <c:pt idx="70">
                  <c:v>1.4357928E7</c:v>
                </c:pt>
                <c:pt idx="71">
                  <c:v>1.4433076E7</c:v>
                </c:pt>
                <c:pt idx="72">
                  <c:v>1.454866E7</c:v>
                </c:pt>
                <c:pt idx="73">
                  <c:v>1.418578E7</c:v>
                </c:pt>
                <c:pt idx="74">
                  <c:v>1.4009513E7</c:v>
                </c:pt>
                <c:pt idx="75">
                  <c:v>1.3664977E7</c:v>
                </c:pt>
                <c:pt idx="76">
                  <c:v>1.3566604E7</c:v>
                </c:pt>
                <c:pt idx="77">
                  <c:v>1.3543622E7</c:v>
                </c:pt>
                <c:pt idx="78">
                  <c:v>1.3818481E7</c:v>
                </c:pt>
                <c:pt idx="79">
                  <c:v>1.4454192E7</c:v>
                </c:pt>
                <c:pt idx="80">
                  <c:v>1.4431609E7</c:v>
                </c:pt>
                <c:pt idx="81">
                  <c:v>1.4436874E7</c:v>
                </c:pt>
                <c:pt idx="82">
                  <c:v>1.4631499E7</c:v>
                </c:pt>
                <c:pt idx="83">
                  <c:v>1.4550453E7</c:v>
                </c:pt>
                <c:pt idx="84">
                  <c:v>1.4347073E7</c:v>
                </c:pt>
                <c:pt idx="85">
                  <c:v>1.4633406E7</c:v>
                </c:pt>
                <c:pt idx="86">
                  <c:v>1.4915816E7</c:v>
                </c:pt>
                <c:pt idx="87">
                  <c:v>1.5215041E7</c:v>
                </c:pt>
                <c:pt idx="88">
                  <c:v>1.5760621E7</c:v>
                </c:pt>
                <c:pt idx="89">
                  <c:v>1.5671589E7</c:v>
                </c:pt>
                <c:pt idx="90">
                  <c:v>1.5590843E7</c:v>
                </c:pt>
                <c:pt idx="91">
                  <c:v>1.5549117E7</c:v>
                </c:pt>
                <c:pt idx="92">
                  <c:v>1.5515525E7</c:v>
                </c:pt>
                <c:pt idx="93">
                  <c:v>1.5815885E7</c:v>
                </c:pt>
                <c:pt idx="94">
                  <c:v>1.6051744E7</c:v>
                </c:pt>
                <c:pt idx="95">
                  <c:v>1.6104546E7</c:v>
                </c:pt>
                <c:pt idx="96">
                  <c:v>1.6511014E7</c:v>
                </c:pt>
                <c:pt idx="97">
                  <c:v>1.6953175E7</c:v>
                </c:pt>
                <c:pt idx="98">
                  <c:v>1.7041948E7</c:v>
                </c:pt>
                <c:pt idx="99">
                  <c:v>1.7063224E7</c:v>
                </c:pt>
                <c:pt idx="100">
                  <c:v>1.6738528E7</c:v>
                </c:pt>
                <c:pt idx="101">
                  <c:v>1.6686128E7</c:v>
                </c:pt>
                <c:pt idx="102">
                  <c:v>1.7050496E7</c:v>
                </c:pt>
                <c:pt idx="103">
                  <c:v>1.7111252E7</c:v>
                </c:pt>
                <c:pt idx="104">
                  <c:v>1.7846266E7</c:v>
                </c:pt>
                <c:pt idx="105">
                  <c:v>1.8355706E7</c:v>
                </c:pt>
                <c:pt idx="106">
                  <c:v>1.8687586E7</c:v>
                </c:pt>
                <c:pt idx="107">
                  <c:v>1.9147199E7</c:v>
                </c:pt>
                <c:pt idx="108">
                  <c:v>1.9522423E7</c:v>
                </c:pt>
                <c:pt idx="109">
                  <c:v>1.9557595E7</c:v>
                </c:pt>
                <c:pt idx="110">
                  <c:v>2.040193E7</c:v>
                </c:pt>
                <c:pt idx="111">
                  <c:v>2.0833811E7</c:v>
                </c:pt>
                <c:pt idx="112">
                  <c:v>2.1474177E7</c:v>
                </c:pt>
                <c:pt idx="113">
                  <c:v>2.1718652E7</c:v>
                </c:pt>
                <c:pt idx="114">
                  <c:v>2.2194976E7</c:v>
                </c:pt>
                <c:pt idx="115">
                  <c:v>2.2927627E7</c:v>
                </c:pt>
                <c:pt idx="116">
                  <c:v>2.3546397E7</c:v>
                </c:pt>
                <c:pt idx="117">
                  <c:v>2.4334049E7</c:v>
                </c:pt>
                <c:pt idx="118">
                  <c:v>2.4987397E7</c:v>
                </c:pt>
                <c:pt idx="119">
                  <c:v>2.5667809E7</c:v>
                </c:pt>
                <c:pt idx="120">
                  <c:v>2.6454768E7</c:v>
                </c:pt>
                <c:pt idx="121">
                  <c:v>2.6789655E7</c:v>
                </c:pt>
                <c:pt idx="122">
                  <c:v>2.6958692E7</c:v>
                </c:pt>
                <c:pt idx="123">
                  <c:v>2.687484E7</c:v>
                </c:pt>
                <c:pt idx="124">
                  <c:v>2.6934415E7</c:v>
                </c:pt>
                <c:pt idx="125">
                  <c:v>2.7192461E7</c:v>
                </c:pt>
                <c:pt idx="126">
                  <c:v>2.6733906E7</c:v>
                </c:pt>
                <c:pt idx="127">
                  <c:v>2.5884368E7</c:v>
                </c:pt>
                <c:pt idx="128">
                  <c:v>2.4856383E7</c:v>
                </c:pt>
                <c:pt idx="129">
                  <c:v>2.4107407E7</c:v>
                </c:pt>
                <c:pt idx="130">
                  <c:v>2.3759915E7</c:v>
                </c:pt>
                <c:pt idx="131">
                  <c:v>2.3097717E7</c:v>
                </c:pt>
                <c:pt idx="132">
                  <c:v>2.2150897E7</c:v>
                </c:pt>
                <c:pt idx="133">
                  <c:v>2.1740869E7</c:v>
                </c:pt>
                <c:pt idx="134">
                  <c:v>2.1069013E7</c:v>
                </c:pt>
                <c:pt idx="135">
                  <c:v>2.0776629E7</c:v>
                </c:pt>
                <c:pt idx="136">
                  <c:v>2.0356435E7</c:v>
                </c:pt>
                <c:pt idx="137">
                  <c:v>1.9864112E7</c:v>
                </c:pt>
                <c:pt idx="138">
                  <c:v>2.060849E7</c:v>
                </c:pt>
                <c:pt idx="139">
                  <c:v>2.1534812E7</c:v>
                </c:pt>
                <c:pt idx="140">
                  <c:v>2.2230984E7</c:v>
                </c:pt>
                <c:pt idx="141">
                  <c:v>2.2417133E7</c:v>
                </c:pt>
                <c:pt idx="142">
                  <c:v>2.2384934E7</c:v>
                </c:pt>
                <c:pt idx="143">
                  <c:v>2.2701158E7</c:v>
                </c:pt>
                <c:pt idx="144">
                  <c:v>2.2745205E7</c:v>
                </c:pt>
                <c:pt idx="145">
                  <c:v>2.2946844E7</c:v>
                </c:pt>
                <c:pt idx="146">
                  <c:v>2.3536046E7</c:v>
                </c:pt>
                <c:pt idx="147">
                  <c:v>2.382843E7</c:v>
                </c:pt>
                <c:pt idx="148">
                  <c:v>2.4248624E7</c:v>
                </c:pt>
                <c:pt idx="149">
                  <c:v>2.4740947E7</c:v>
                </c:pt>
                <c:pt idx="150">
                  <c:v>2.3996569E7</c:v>
                </c:pt>
                <c:pt idx="151">
                  <c:v>2.3070247E7</c:v>
                </c:pt>
                <c:pt idx="152">
                  <c:v>2.2374075E7</c:v>
                </c:pt>
                <c:pt idx="153">
                  <c:v>2.2187926E7</c:v>
                </c:pt>
                <c:pt idx="154">
                  <c:v>2.2220125E7</c:v>
                </c:pt>
                <c:pt idx="155">
                  <c:v>2.1903901E7</c:v>
                </c:pt>
                <c:pt idx="156">
                  <c:v>2.1859854E7</c:v>
                </c:pt>
                <c:pt idx="157">
                  <c:v>2.1658215E7</c:v>
                </c:pt>
                <c:pt idx="158">
                  <c:v>2.1069013E7</c:v>
                </c:pt>
                <c:pt idx="159">
                  <c:v>2.0776629E7</c:v>
                </c:pt>
                <c:pt idx="160">
                  <c:v>2.0356435E7</c:v>
                </c:pt>
                <c:pt idx="161">
                  <c:v>1.9864112E7</c:v>
                </c:pt>
                <c:pt idx="162">
                  <c:v>2.060849E7</c:v>
                </c:pt>
                <c:pt idx="163">
                  <c:v>2.1534812E7</c:v>
                </c:pt>
                <c:pt idx="164">
                  <c:v>2.2230984E7</c:v>
                </c:pt>
                <c:pt idx="165">
                  <c:v>2.2417133E7</c:v>
                </c:pt>
                <c:pt idx="166">
                  <c:v>2.2384934E7</c:v>
                </c:pt>
                <c:pt idx="167">
                  <c:v>2.2701158E7</c:v>
                </c:pt>
                <c:pt idx="168">
                  <c:v>2.2745205E7</c:v>
                </c:pt>
                <c:pt idx="169">
                  <c:v>2.2946844E7</c:v>
                </c:pt>
                <c:pt idx="170">
                  <c:v>2.3536046E7</c:v>
                </c:pt>
                <c:pt idx="171">
                  <c:v>2.3959803E7</c:v>
                </c:pt>
                <c:pt idx="172">
                  <c:v>2.427447E7</c:v>
                </c:pt>
                <c:pt idx="173">
                  <c:v>2.4968949E7</c:v>
                </c:pt>
                <c:pt idx="174">
                  <c:v>2.4626049E7</c:v>
                </c:pt>
                <c:pt idx="175">
                  <c:v>2.4668497E7</c:v>
                </c:pt>
                <c:pt idx="176">
                  <c:v>2.4525402E7</c:v>
                </c:pt>
                <c:pt idx="177">
                  <c:v>2.4521044E7</c:v>
                </c:pt>
                <c:pt idx="178">
                  <c:v>2.482008E7</c:v>
                </c:pt>
                <c:pt idx="179">
                  <c:v>2.4809549E7</c:v>
                </c:pt>
                <c:pt idx="180">
                  <c:v>2.5100583E7</c:v>
                </c:pt>
                <c:pt idx="181">
                  <c:v>2.5338811E7</c:v>
                </c:pt>
                <c:pt idx="182">
                  <c:v>2.4985368E7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6368680"/>
        <c:axId val="-2056322008"/>
      </c:barChart>
      <c:lineChart>
        <c:grouping val="standard"/>
        <c:varyColors val="0"/>
        <c:ser>
          <c:idx val="0"/>
          <c:order val="1"/>
          <c:tx>
            <c:v>Profit</c:v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numRef>
              <c:f>'Month S&amp;P'!$A$132:$A$316</c:f>
              <c:numCache>
                <c:formatCode>mmm\-yy</c:formatCode>
                <c:ptCount val="185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'Month S&amp;P'!$H$132:$H$316</c:f>
              <c:numCache>
                <c:formatCode>#,##0_);[Red]\(#,##0\)</c:formatCode>
                <c:ptCount val="185"/>
                <c:pt idx="0">
                  <c:v>-907438.64</c:v>
                </c:pt>
                <c:pt idx="1">
                  <c:v>-803437.99</c:v>
                </c:pt>
                <c:pt idx="2">
                  <c:v>-844960.0</c:v>
                </c:pt>
                <c:pt idx="3">
                  <c:v>-712908.0</c:v>
                </c:pt>
                <c:pt idx="4">
                  <c:v>-573052.0</c:v>
                </c:pt>
                <c:pt idx="5">
                  <c:v>-172497.0</c:v>
                </c:pt>
                <c:pt idx="6">
                  <c:v>-86026.0</c:v>
                </c:pt>
                <c:pt idx="7">
                  <c:v>306338.0</c:v>
                </c:pt>
                <c:pt idx="8">
                  <c:v>351707.0</c:v>
                </c:pt>
                <c:pt idx="9">
                  <c:v>568076.0</c:v>
                </c:pt>
                <c:pt idx="10">
                  <c:v>765468.0</c:v>
                </c:pt>
                <c:pt idx="11">
                  <c:v>1.349639E6</c:v>
                </c:pt>
                <c:pt idx="12">
                  <c:v>1.175647E6</c:v>
                </c:pt>
                <c:pt idx="13">
                  <c:v>1.140711E6</c:v>
                </c:pt>
                <c:pt idx="14">
                  <c:v>1.121905E6</c:v>
                </c:pt>
                <c:pt idx="15">
                  <c:v>994713.0</c:v>
                </c:pt>
                <c:pt idx="16">
                  <c:v>1.166706E6</c:v>
                </c:pt>
                <c:pt idx="17">
                  <c:v>1.190695E6</c:v>
                </c:pt>
                <c:pt idx="18">
                  <c:v>1.11292E6</c:v>
                </c:pt>
                <c:pt idx="19">
                  <c:v>1.421583E6</c:v>
                </c:pt>
                <c:pt idx="20">
                  <c:v>1.628156E6</c:v>
                </c:pt>
                <c:pt idx="21">
                  <c:v>1.589573E6</c:v>
                </c:pt>
                <c:pt idx="22">
                  <c:v>1.659849E6</c:v>
                </c:pt>
                <c:pt idx="23">
                  <c:v>1.744319E6</c:v>
                </c:pt>
                <c:pt idx="24">
                  <c:v>1.988398E6</c:v>
                </c:pt>
                <c:pt idx="25">
                  <c:v>1.823946E6</c:v>
                </c:pt>
                <c:pt idx="26">
                  <c:v>1.860698E6</c:v>
                </c:pt>
                <c:pt idx="27">
                  <c:v>1.837484E6</c:v>
                </c:pt>
                <c:pt idx="28">
                  <c:v>2.003081E6</c:v>
                </c:pt>
                <c:pt idx="29">
                  <c:v>1.980105E6</c:v>
                </c:pt>
                <c:pt idx="30">
                  <c:v>2.426976E6</c:v>
                </c:pt>
                <c:pt idx="31">
                  <c:v>2.37318E6</c:v>
                </c:pt>
                <c:pt idx="32">
                  <c:v>2.539883E6</c:v>
                </c:pt>
                <c:pt idx="33">
                  <c:v>2.421901E6</c:v>
                </c:pt>
                <c:pt idx="34">
                  <c:v>2.460099E6</c:v>
                </c:pt>
                <c:pt idx="35">
                  <c:v>2.324758E6</c:v>
                </c:pt>
                <c:pt idx="36">
                  <c:v>2.741003E6</c:v>
                </c:pt>
                <c:pt idx="37">
                  <c:v>2.845875E6</c:v>
                </c:pt>
                <c:pt idx="38">
                  <c:v>2.639717E6</c:v>
                </c:pt>
                <c:pt idx="39">
                  <c:v>2.505731E6</c:v>
                </c:pt>
                <c:pt idx="40">
                  <c:v>2.26158E6</c:v>
                </c:pt>
                <c:pt idx="41">
                  <c:v>2.53061E6</c:v>
                </c:pt>
                <c:pt idx="42">
                  <c:v>2.127039E6</c:v>
                </c:pt>
                <c:pt idx="43">
                  <c:v>2.131101E6</c:v>
                </c:pt>
                <c:pt idx="44">
                  <c:v>1.779468E6</c:v>
                </c:pt>
                <c:pt idx="45">
                  <c:v>1.521358E6</c:v>
                </c:pt>
                <c:pt idx="46">
                  <c:v>1.073965E6</c:v>
                </c:pt>
                <c:pt idx="47">
                  <c:v>964195.0</c:v>
                </c:pt>
                <c:pt idx="48">
                  <c:v>306151.0</c:v>
                </c:pt>
                <c:pt idx="49">
                  <c:v>420588.0</c:v>
                </c:pt>
                <c:pt idx="50">
                  <c:v>528302.0</c:v>
                </c:pt>
                <c:pt idx="51">
                  <c:v>420991.0</c:v>
                </c:pt>
                <c:pt idx="52">
                  <c:v>417198.0</c:v>
                </c:pt>
                <c:pt idx="53">
                  <c:v>-114099.0</c:v>
                </c:pt>
                <c:pt idx="54">
                  <c:v>85082.0</c:v>
                </c:pt>
                <c:pt idx="55">
                  <c:v>-147509.0</c:v>
                </c:pt>
                <c:pt idx="56">
                  <c:v>242623.0</c:v>
                </c:pt>
                <c:pt idx="57">
                  <c:v>476777.0</c:v>
                </c:pt>
                <c:pt idx="58">
                  <c:v>960667.0</c:v>
                </c:pt>
                <c:pt idx="59">
                  <c:v>1.184846E6</c:v>
                </c:pt>
                <c:pt idx="60">
                  <c:v>1.208607E6</c:v>
                </c:pt>
                <c:pt idx="61">
                  <c:v>1.160118E6</c:v>
                </c:pt>
                <c:pt idx="62">
                  <c:v>952096.0</c:v>
                </c:pt>
                <c:pt idx="63">
                  <c:v>1.076346E6</c:v>
                </c:pt>
                <c:pt idx="64">
                  <c:v>827575.0</c:v>
                </c:pt>
                <c:pt idx="65">
                  <c:v>1.159847E6</c:v>
                </c:pt>
                <c:pt idx="66">
                  <c:v>820468.0</c:v>
                </c:pt>
                <c:pt idx="67">
                  <c:v>523391.0</c:v>
                </c:pt>
                <c:pt idx="68">
                  <c:v>449949.0</c:v>
                </c:pt>
                <c:pt idx="69">
                  <c:v>76765.0</c:v>
                </c:pt>
                <c:pt idx="70">
                  <c:v>-281516.0</c:v>
                </c:pt>
                <c:pt idx="71">
                  <c:v>-270406.0</c:v>
                </c:pt>
                <c:pt idx="72">
                  <c:v>-47734.0</c:v>
                </c:pt>
                <c:pt idx="73">
                  <c:v>-314336.0</c:v>
                </c:pt>
                <c:pt idx="74">
                  <c:v>-253094.0</c:v>
                </c:pt>
                <c:pt idx="75">
                  <c:v>-490360.0</c:v>
                </c:pt>
                <c:pt idx="76">
                  <c:v>-537031.0</c:v>
                </c:pt>
                <c:pt idx="77">
                  <c:v>-427216.0</c:v>
                </c:pt>
                <c:pt idx="78">
                  <c:v>-139173.0</c:v>
                </c:pt>
                <c:pt idx="79">
                  <c:v>428586.0</c:v>
                </c:pt>
                <c:pt idx="80">
                  <c:v>241459.0</c:v>
                </c:pt>
                <c:pt idx="81">
                  <c:v>265137.0</c:v>
                </c:pt>
                <c:pt idx="82">
                  <c:v>435803.0</c:v>
                </c:pt>
                <c:pt idx="83">
                  <c:v>271077.0</c:v>
                </c:pt>
                <c:pt idx="84">
                  <c:v>-1735.0</c:v>
                </c:pt>
                <c:pt idx="85">
                  <c:v>68414.0</c:v>
                </c:pt>
                <c:pt idx="86">
                  <c:v>165702.0</c:v>
                </c:pt>
                <c:pt idx="87">
                  <c:v>386166.0</c:v>
                </c:pt>
                <c:pt idx="88">
                  <c:v>732712.0</c:v>
                </c:pt>
                <c:pt idx="89">
                  <c:v>297565.0</c:v>
                </c:pt>
                <c:pt idx="90">
                  <c:v>142841.0</c:v>
                </c:pt>
                <c:pt idx="91">
                  <c:v>-85499.0</c:v>
                </c:pt>
                <c:pt idx="92">
                  <c:v>-306146.0</c:v>
                </c:pt>
                <c:pt idx="93">
                  <c:v>-67402.0</c:v>
                </c:pt>
                <c:pt idx="94">
                  <c:v>-214124.0</c:v>
                </c:pt>
                <c:pt idx="95">
                  <c:v>-331286.0</c:v>
                </c:pt>
                <c:pt idx="96">
                  <c:v>-140259.0</c:v>
                </c:pt>
                <c:pt idx="97">
                  <c:v>166113.0</c:v>
                </c:pt>
                <c:pt idx="98">
                  <c:v>76404.0</c:v>
                </c:pt>
                <c:pt idx="99">
                  <c:v>-81794.0</c:v>
                </c:pt>
                <c:pt idx="100">
                  <c:v>-430170.0</c:v>
                </c:pt>
                <c:pt idx="101">
                  <c:v>-402762.0</c:v>
                </c:pt>
                <c:pt idx="102">
                  <c:v>-238229.0</c:v>
                </c:pt>
                <c:pt idx="103">
                  <c:v>-336775.0</c:v>
                </c:pt>
                <c:pt idx="104">
                  <c:v>438174.0</c:v>
                </c:pt>
                <c:pt idx="105">
                  <c:v>779119.0</c:v>
                </c:pt>
                <c:pt idx="106">
                  <c:v>996368.0</c:v>
                </c:pt>
                <c:pt idx="107">
                  <c:v>1.20785E6</c:v>
                </c:pt>
                <c:pt idx="108">
                  <c:v>1.456156E6</c:v>
                </c:pt>
                <c:pt idx="109">
                  <c:v>1.317685E6</c:v>
                </c:pt>
                <c:pt idx="110">
                  <c:v>1.471472E6</c:v>
                </c:pt>
                <c:pt idx="111">
                  <c:v>1.782095E6</c:v>
                </c:pt>
                <c:pt idx="112">
                  <c:v>2.211316E6</c:v>
                </c:pt>
                <c:pt idx="113">
                  <c:v>2.339306E6</c:v>
                </c:pt>
                <c:pt idx="114">
                  <c:v>2.741273E6</c:v>
                </c:pt>
                <c:pt idx="115">
                  <c:v>3.255362E6</c:v>
                </c:pt>
                <c:pt idx="116">
                  <c:v>3.233245E6</c:v>
                </c:pt>
                <c:pt idx="117">
                  <c:v>3.578902E6</c:v>
                </c:pt>
                <c:pt idx="118">
                  <c:v>3.897328E6</c:v>
                </c:pt>
                <c:pt idx="119">
                  <c:v>4.230237E6</c:v>
                </c:pt>
                <c:pt idx="120">
                  <c:v>4.516905E6</c:v>
                </c:pt>
                <c:pt idx="121">
                  <c:v>4.431174E6</c:v>
                </c:pt>
                <c:pt idx="122">
                  <c:v>4.367788E6</c:v>
                </c:pt>
                <c:pt idx="123">
                  <c:v>4.128578E6</c:v>
                </c:pt>
                <c:pt idx="124">
                  <c:v>4.064409E6</c:v>
                </c:pt>
                <c:pt idx="125">
                  <c:v>4.275277E6</c:v>
                </c:pt>
                <c:pt idx="126">
                  <c:v>3.772879E6</c:v>
                </c:pt>
                <c:pt idx="127">
                  <c:v>2.919647E6</c:v>
                </c:pt>
                <c:pt idx="128">
                  <c:v>2.338161E6</c:v>
                </c:pt>
                <c:pt idx="129">
                  <c:v>1.901864E6</c:v>
                </c:pt>
                <c:pt idx="130">
                  <c:v>1.902429E6</c:v>
                </c:pt>
                <c:pt idx="131">
                  <c:v>1.39888E6</c:v>
                </c:pt>
                <c:pt idx="132">
                  <c:v>659978.0</c:v>
                </c:pt>
                <c:pt idx="133">
                  <c:v>626595.0</c:v>
                </c:pt>
                <c:pt idx="134">
                  <c:v>545774.0</c:v>
                </c:pt>
                <c:pt idx="135">
                  <c:v>325446.0</c:v>
                </c:pt>
                <c:pt idx="136">
                  <c:v>-35128.0</c:v>
                </c:pt>
                <c:pt idx="137">
                  <c:v>-699465.0</c:v>
                </c:pt>
                <c:pt idx="138">
                  <c:v>-175345.0</c:v>
                </c:pt>
                <c:pt idx="139">
                  <c:v>643482.0</c:v>
                </c:pt>
                <c:pt idx="140">
                  <c:v>1.198064E6</c:v>
                </c:pt>
                <c:pt idx="141">
                  <c:v>1.160332E6</c:v>
                </c:pt>
                <c:pt idx="142">
                  <c:v>1.147587E6</c:v>
                </c:pt>
                <c:pt idx="143">
                  <c:v>1.409881E6</c:v>
                </c:pt>
                <c:pt idx="144">
                  <c:v>1.48613E6</c:v>
                </c:pt>
                <c:pt idx="145">
                  <c:v>1.597842E6</c:v>
                </c:pt>
                <c:pt idx="146">
                  <c:v>1.937153E6</c:v>
                </c:pt>
                <c:pt idx="147">
                  <c:v>2.274944E6</c:v>
                </c:pt>
                <c:pt idx="148">
                  <c:v>2.55133E6</c:v>
                </c:pt>
                <c:pt idx="149">
                  <c:v>2.992071E6</c:v>
                </c:pt>
                <c:pt idx="150">
                  <c:v>2.660153E6</c:v>
                </c:pt>
                <c:pt idx="151">
                  <c:v>2.620932E6</c:v>
                </c:pt>
                <c:pt idx="152">
                  <c:v>2.34668E6</c:v>
                </c:pt>
                <c:pt idx="153">
                  <c:v>2.400992E6</c:v>
                </c:pt>
                <c:pt idx="154">
                  <c:v>2.578552E6</c:v>
                </c:pt>
                <c:pt idx="155">
                  <c:v>2.55764E6</c:v>
                </c:pt>
                <c:pt idx="156">
                  <c:v>2.71113E6</c:v>
                </c:pt>
                <c:pt idx="157">
                  <c:v>2.761642E6</c:v>
                </c:pt>
                <c:pt idx="158">
                  <c:v>1.945713E6</c:v>
                </c:pt>
                <c:pt idx="159">
                  <c:v>1.714297E6</c:v>
                </c:pt>
                <c:pt idx="160">
                  <c:v>1.442078E6</c:v>
                </c:pt>
                <c:pt idx="161">
                  <c:v>952982.0</c:v>
                </c:pt>
                <c:pt idx="162">
                  <c:v>418080.0</c:v>
                </c:pt>
                <c:pt idx="163">
                  <c:v>288308.0</c:v>
                </c:pt>
                <c:pt idx="164">
                  <c:v>81518.0</c:v>
                </c:pt>
                <c:pt idx="165">
                  <c:v>-64308.0</c:v>
                </c:pt>
                <c:pt idx="166">
                  <c:v>-262917.0</c:v>
                </c:pt>
                <c:pt idx="167">
                  <c:v>-749020.0</c:v>
                </c:pt>
                <c:pt idx="168">
                  <c:v>-552641.0</c:v>
                </c:pt>
                <c:pt idx="169">
                  <c:v>-816933.0</c:v>
                </c:pt>
                <c:pt idx="170">
                  <c:v>57398.0</c:v>
                </c:pt>
                <c:pt idx="171">
                  <c:v>171038.0</c:v>
                </c:pt>
                <c:pt idx="172">
                  <c:v>315818.0</c:v>
                </c:pt>
                <c:pt idx="173">
                  <c:v>604761.0</c:v>
                </c:pt>
                <c:pt idx="174">
                  <c:v>1.059492E6</c:v>
                </c:pt>
                <c:pt idx="175">
                  <c:v>488142.0</c:v>
                </c:pt>
                <c:pt idx="176">
                  <c:v>332615.0</c:v>
                </c:pt>
                <c:pt idx="177">
                  <c:v>379645.0</c:v>
                </c:pt>
                <c:pt idx="178">
                  <c:v>-4500.0</c:v>
                </c:pt>
                <c:pt idx="179">
                  <c:v>737090.0</c:v>
                </c:pt>
                <c:pt idx="180">
                  <c:v>638366.0</c:v>
                </c:pt>
                <c:pt idx="181">
                  <c:v>769241.0</c:v>
                </c:pt>
                <c:pt idx="182">
                  <c:v>573127.0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6315768"/>
        <c:axId val="-2056312632"/>
      </c:lineChart>
      <c:catAx>
        <c:axId val="-2056368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2249322493225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hicago"/>
                <a:ea typeface="Chicago"/>
                <a:cs typeface="Chicago"/>
              </a:defRPr>
            </a:pPr>
            <a:endParaRPr lang="en-US"/>
          </a:p>
        </c:txPr>
        <c:crossAx val="-2056322008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-2056322008"/>
        <c:scaling>
          <c:orientation val="minMax"/>
          <c:max val="3.0E7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0840108401084"/>
              <c:y val="0.4422657952069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6368680"/>
        <c:crosses val="autoZero"/>
        <c:crossBetween val="between"/>
      </c:valAx>
      <c:catAx>
        <c:axId val="-2056315768"/>
        <c:scaling>
          <c:orientation val="minMax"/>
        </c:scaling>
        <c:delete val="1"/>
        <c:axPos val="t"/>
        <c:numFmt formatCode="mmm\-yy" sourceLinked="1"/>
        <c:majorTickMark val="out"/>
        <c:minorTickMark val="none"/>
        <c:tickLblPos val="nextTo"/>
        <c:crossAx val="-2056312632"/>
        <c:crosses val="max"/>
        <c:auto val="0"/>
        <c:lblAlgn val="ctr"/>
        <c:lblOffset val="100"/>
        <c:noMultiLvlLbl val="0"/>
      </c:catAx>
      <c:valAx>
        <c:axId val="-2056312632"/>
        <c:scaling>
          <c:orientation val="minMax"/>
          <c:max val="6.0E6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Profit (</a:t>
                </a:r>
                <a:r>
                  <a:rPr lang="en-US" sz="1000" b="1" i="0" u="none" strike="noStrike" baseline="0">
                    <a:solidFill>
                      <a:srgbClr val="DD0806"/>
                    </a:solidFill>
                    <a:latin typeface="Arial"/>
                    <a:ea typeface="Arial"/>
                    <a:cs typeface="Arial"/>
                  </a:rPr>
                  <a:t>Loss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75338753387534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6315768"/>
        <c:crosses val="max"/>
        <c:crossBetween val="between"/>
      </c:valAx>
      <c:spPr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864498644986"/>
          <c:y val="0.14161220043573"/>
          <c:w val="0.0785907859078591"/>
          <c:h val="0.058823529411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12 Months S &amp; P</a:t>
            </a:r>
          </a:p>
        </c:rich>
      </c:tx>
      <c:layout>
        <c:manualLayout>
          <c:xMode val="edge"/>
          <c:yMode val="edge"/>
          <c:x val="0.38753387533875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241192411924"/>
          <c:y val="0.124183006535948"/>
          <c:w val="0.672086720867209"/>
          <c:h val="0.727668845315904"/>
        </c:manualLayout>
      </c:layout>
      <c:barChart>
        <c:barDir val="col"/>
        <c:grouping val="clustered"/>
        <c:varyColors val="0"/>
        <c:ser>
          <c:idx val="1"/>
          <c:order val="0"/>
          <c:tx>
            <c:v>Sales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'Month S&amp;P'!$A$14:$A$318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S&amp;P'!$W$14:$W$280</c:f>
              <c:numCache>
                <c:formatCode>#,##0_);[Red]\(#,##0\)</c:formatCode>
                <c:ptCount val="267"/>
                <c:pt idx="1">
                  <c:v>5.930555E6</c:v>
                </c:pt>
                <c:pt idx="2">
                  <c:v>5.93220872E6</c:v>
                </c:pt>
                <c:pt idx="3">
                  <c:v>5.98411672E6</c:v>
                </c:pt>
                <c:pt idx="4">
                  <c:v>5.95109372E6</c:v>
                </c:pt>
                <c:pt idx="5">
                  <c:v>6.35555872E6</c:v>
                </c:pt>
                <c:pt idx="6">
                  <c:v>6.66599872E6</c:v>
                </c:pt>
                <c:pt idx="7">
                  <c:v>6.67809472E6</c:v>
                </c:pt>
                <c:pt idx="8">
                  <c:v>6.85406672E6</c:v>
                </c:pt>
                <c:pt idx="9">
                  <c:v>7.11362072E6</c:v>
                </c:pt>
                <c:pt idx="10">
                  <c:v>7.29874472E6</c:v>
                </c:pt>
                <c:pt idx="11">
                  <c:v>7.70707672E6</c:v>
                </c:pt>
                <c:pt idx="12">
                  <c:v>7.89324572E6</c:v>
                </c:pt>
                <c:pt idx="13">
                  <c:v>8.20528172E6</c:v>
                </c:pt>
                <c:pt idx="14">
                  <c:v>8.303824E6</c:v>
                </c:pt>
                <c:pt idx="15">
                  <c:v>8.891815E6</c:v>
                </c:pt>
                <c:pt idx="16">
                  <c:v>9.447734E6</c:v>
                </c:pt>
                <c:pt idx="17">
                  <c:v>9.582389E6</c:v>
                </c:pt>
                <c:pt idx="18">
                  <c:v>9.788785E6</c:v>
                </c:pt>
                <c:pt idx="19">
                  <c:v>1.0074753E7</c:v>
                </c:pt>
                <c:pt idx="20">
                  <c:v>1.0332404E7</c:v>
                </c:pt>
                <c:pt idx="21">
                  <c:v>1.0546385E7</c:v>
                </c:pt>
                <c:pt idx="22">
                  <c:v>1.0680538E7</c:v>
                </c:pt>
                <c:pt idx="23">
                  <c:v>1.0619351E7</c:v>
                </c:pt>
                <c:pt idx="24">
                  <c:v>1.0767442E7</c:v>
                </c:pt>
                <c:pt idx="25">
                  <c:v>1.0746151E7</c:v>
                </c:pt>
                <c:pt idx="26">
                  <c:v>1.1097777E7</c:v>
                </c:pt>
                <c:pt idx="27">
                  <c:v>1.1195551E7</c:v>
                </c:pt>
                <c:pt idx="28">
                  <c:v>1.1332048E7</c:v>
                </c:pt>
                <c:pt idx="29">
                  <c:v>1.1757272E7</c:v>
                </c:pt>
                <c:pt idx="30">
                  <c:v>1.1689853E7</c:v>
                </c:pt>
                <c:pt idx="31">
                  <c:v>1.1739247E7</c:v>
                </c:pt>
                <c:pt idx="32">
                  <c:v>1.1836826E7</c:v>
                </c:pt>
                <c:pt idx="33">
                  <c:v>1.2566703E7</c:v>
                </c:pt>
                <c:pt idx="34">
                  <c:v>1.3168119E7</c:v>
                </c:pt>
                <c:pt idx="35">
                  <c:v>1.4099009E7</c:v>
                </c:pt>
                <c:pt idx="36">
                  <c:v>1.4783258E7</c:v>
                </c:pt>
                <c:pt idx="37">
                  <c:v>1.5079371E7</c:v>
                </c:pt>
                <c:pt idx="38">
                  <c:v>1.5165521E7</c:v>
                </c:pt>
                <c:pt idx="39">
                  <c:v>1.5466279E7</c:v>
                </c:pt>
                <c:pt idx="40">
                  <c:v>1.5717652E7</c:v>
                </c:pt>
                <c:pt idx="41">
                  <c:v>1.5881023E7</c:v>
                </c:pt>
                <c:pt idx="42">
                  <c:v>1.6515969E7</c:v>
                </c:pt>
                <c:pt idx="43">
                  <c:v>1.6948025E7</c:v>
                </c:pt>
                <c:pt idx="44">
                  <c:v>1.735176E7</c:v>
                </c:pt>
                <c:pt idx="45">
                  <c:v>1.696038E7</c:v>
                </c:pt>
                <c:pt idx="46">
                  <c:v>1.6744234E7</c:v>
                </c:pt>
                <c:pt idx="47">
                  <c:v>1.6163569E7</c:v>
                </c:pt>
                <c:pt idx="48">
                  <c:v>1.6027667E7</c:v>
                </c:pt>
                <c:pt idx="49">
                  <c:v>1.6296458E7</c:v>
                </c:pt>
                <c:pt idx="50">
                  <c:v>1.6452524E7</c:v>
                </c:pt>
                <c:pt idx="51">
                  <c:v>1.6481275E7</c:v>
                </c:pt>
                <c:pt idx="52">
                  <c:v>1.6562442E7</c:v>
                </c:pt>
                <c:pt idx="53">
                  <c:v>1.663567815E7</c:v>
                </c:pt>
                <c:pt idx="54">
                  <c:v>1.649346115E7</c:v>
                </c:pt>
                <c:pt idx="55">
                  <c:v>1.629261655E7</c:v>
                </c:pt>
                <c:pt idx="56">
                  <c:v>1.596045055E7</c:v>
                </c:pt>
                <c:pt idx="57">
                  <c:v>1.583348735E7</c:v>
                </c:pt>
                <c:pt idx="58">
                  <c:v>1.577040515E7</c:v>
                </c:pt>
                <c:pt idx="59">
                  <c:v>1.590484275E7</c:v>
                </c:pt>
                <c:pt idx="60">
                  <c:v>1.571177055E7</c:v>
                </c:pt>
                <c:pt idx="61">
                  <c:v>1.527478334E7</c:v>
                </c:pt>
                <c:pt idx="62">
                  <c:v>1.531672281E7</c:v>
                </c:pt>
                <c:pt idx="63">
                  <c:v>1.545459561E7</c:v>
                </c:pt>
                <c:pt idx="64">
                  <c:v>1.555237177E7</c:v>
                </c:pt>
                <c:pt idx="65">
                  <c:v>1.53943476E7</c:v>
                </c:pt>
                <c:pt idx="66">
                  <c:v>1.579815256E7</c:v>
                </c:pt>
                <c:pt idx="67">
                  <c:v>1.598631095E7</c:v>
                </c:pt>
                <c:pt idx="68">
                  <c:v>1.646687735E7</c:v>
                </c:pt>
                <c:pt idx="69">
                  <c:v>1.692563295E7</c:v>
                </c:pt>
                <c:pt idx="70">
                  <c:v>1.746829515E7</c:v>
                </c:pt>
                <c:pt idx="71">
                  <c:v>1.816770255E7</c:v>
                </c:pt>
                <c:pt idx="72">
                  <c:v>1.855742575E7</c:v>
                </c:pt>
                <c:pt idx="73">
                  <c:v>1.87344691988E7</c:v>
                </c:pt>
                <c:pt idx="74">
                  <c:v>1.9007383148E7</c:v>
                </c:pt>
                <c:pt idx="75">
                  <c:v>1.90902622184E7</c:v>
                </c:pt>
                <c:pt idx="76">
                  <c:v>1.89275983332E7</c:v>
                </c:pt>
                <c:pt idx="77">
                  <c:v>1.89718921592E7</c:v>
                </c:pt>
                <c:pt idx="78">
                  <c:v>1.86218517196E7</c:v>
                </c:pt>
                <c:pt idx="79">
                  <c:v>1.8553278582E7</c:v>
                </c:pt>
                <c:pt idx="80">
                  <c:v>1.84636007864E7</c:v>
                </c:pt>
                <c:pt idx="81">
                  <c:v>1.7970984506E7</c:v>
                </c:pt>
                <c:pt idx="82">
                  <c:v>1.73913449724E7</c:v>
                </c:pt>
                <c:pt idx="83">
                  <c:v>1.6998268686E7</c:v>
                </c:pt>
                <c:pt idx="84">
                  <c:v>1.65008580216E7</c:v>
                </c:pt>
                <c:pt idx="85">
                  <c:v>1.65059608308E7</c:v>
                </c:pt>
                <c:pt idx="86">
                  <c:v>1.647590625E7</c:v>
                </c:pt>
                <c:pt idx="87">
                  <c:v>1.58876824484E7</c:v>
                </c:pt>
                <c:pt idx="88">
                  <c:v>1.58036741976E7</c:v>
                </c:pt>
                <c:pt idx="89">
                  <c:v>1.59408922124E7</c:v>
                </c:pt>
                <c:pt idx="90">
                  <c:v>1.58878534728E7</c:v>
                </c:pt>
                <c:pt idx="91">
                  <c:v>1.58651383836E7</c:v>
                </c:pt>
                <c:pt idx="92">
                  <c:v>1.5430232984E7</c:v>
                </c:pt>
                <c:pt idx="93">
                  <c:v>1.53710451492E7</c:v>
                </c:pt>
                <c:pt idx="94">
                  <c:v>1.51517731532E7</c:v>
                </c:pt>
                <c:pt idx="95">
                  <c:v>1.49336383836E7</c:v>
                </c:pt>
                <c:pt idx="96">
                  <c:v>1.49488642912E7</c:v>
                </c:pt>
                <c:pt idx="97">
                  <c:v>1.49709309712E7</c:v>
                </c:pt>
                <c:pt idx="98">
                  <c:v>1.46523854228E7</c:v>
                </c:pt>
                <c:pt idx="99">
                  <c:v>1.4646574824E7</c:v>
                </c:pt>
                <c:pt idx="100">
                  <c:v>1.4305960643E7</c:v>
                </c:pt>
                <c:pt idx="101">
                  <c:v>1.38820537592E7</c:v>
                </c:pt>
                <c:pt idx="102">
                  <c:v>1.33376392744E7</c:v>
                </c:pt>
                <c:pt idx="103">
                  <c:v>1.31491826082E7</c:v>
                </c:pt>
                <c:pt idx="104">
                  <c:v>1.30032161304E7</c:v>
                </c:pt>
                <c:pt idx="105">
                  <c:v>1.30352177256E7</c:v>
                </c:pt>
                <c:pt idx="106">
                  <c:v>1.32805350452E7</c:v>
                </c:pt>
                <c:pt idx="107">
                  <c:v>1.30679759512E7</c:v>
                </c:pt>
                <c:pt idx="108">
                  <c:v>1.3105212708E7</c:v>
                </c:pt>
                <c:pt idx="109">
                  <c:v>1.300038098E7</c:v>
                </c:pt>
                <c:pt idx="110">
                  <c:v>1.279794069E7</c:v>
                </c:pt>
                <c:pt idx="111">
                  <c:v>1.288143022E7</c:v>
                </c:pt>
                <c:pt idx="112">
                  <c:v>1.2969380377E7</c:v>
                </c:pt>
                <c:pt idx="113">
                  <c:v>1.277408244E7</c:v>
                </c:pt>
                <c:pt idx="114">
                  <c:v>1.2870917144E7</c:v>
                </c:pt>
                <c:pt idx="115">
                  <c:v>1.2713610247E7</c:v>
                </c:pt>
                <c:pt idx="116">
                  <c:v>1.258604652E7</c:v>
                </c:pt>
                <c:pt idx="117">
                  <c:v>1.218254364E7</c:v>
                </c:pt>
                <c:pt idx="118">
                  <c:v>1.196415685E7</c:v>
                </c:pt>
                <c:pt idx="119">
                  <c:v>1.1824944E7</c:v>
                </c:pt>
                <c:pt idx="120">
                  <c:v>1.162544E7</c:v>
                </c:pt>
                <c:pt idx="121">
                  <c:v>1.1613534E7</c:v>
                </c:pt>
                <c:pt idx="122">
                  <c:v>1.1537554E7</c:v>
                </c:pt>
                <c:pt idx="123">
                  <c:v>1.1639972E7</c:v>
                </c:pt>
                <c:pt idx="124">
                  <c:v>1.1636886E7</c:v>
                </c:pt>
                <c:pt idx="125">
                  <c:v>1.1784803E7</c:v>
                </c:pt>
                <c:pt idx="126">
                  <c:v>1.1667728E7</c:v>
                </c:pt>
                <c:pt idx="127">
                  <c:v>1.1681549E7</c:v>
                </c:pt>
                <c:pt idx="128">
                  <c:v>1.1677774E7</c:v>
                </c:pt>
                <c:pt idx="129">
                  <c:v>1.1913147E7</c:v>
                </c:pt>
                <c:pt idx="130">
                  <c:v>1.1727663E7</c:v>
                </c:pt>
                <c:pt idx="131">
                  <c:v>1.1771887E7</c:v>
                </c:pt>
                <c:pt idx="132">
                  <c:v>1.1939454E7</c:v>
                </c:pt>
                <c:pt idx="133">
                  <c:v>1.1913192E7</c:v>
                </c:pt>
                <c:pt idx="134">
                  <c:v>1.206972E7</c:v>
                </c:pt>
                <c:pt idx="135">
                  <c:v>1.2025332E7</c:v>
                </c:pt>
                <c:pt idx="136">
                  <c:v>1.1962178E7</c:v>
                </c:pt>
                <c:pt idx="137">
                  <c:v>1.2347027E7</c:v>
                </c:pt>
                <c:pt idx="138">
                  <c:v>1.2681465E7</c:v>
                </c:pt>
                <c:pt idx="139">
                  <c:v>1.2787377E7</c:v>
                </c:pt>
                <c:pt idx="140">
                  <c:v>1.305652E7</c:v>
                </c:pt>
                <c:pt idx="141">
                  <c:v>1.3241215E7</c:v>
                </c:pt>
                <c:pt idx="142">
                  <c:v>1.3542339E7</c:v>
                </c:pt>
                <c:pt idx="143">
                  <c:v>1.3451606E7</c:v>
                </c:pt>
                <c:pt idx="144">
                  <c:v>1.3489594E7</c:v>
                </c:pt>
                <c:pt idx="145">
                  <c:v>1.3521497E7</c:v>
                </c:pt>
                <c:pt idx="146">
                  <c:v>1.3821051E7</c:v>
                </c:pt>
                <c:pt idx="147">
                  <c:v>1.392195E7</c:v>
                </c:pt>
                <c:pt idx="148">
                  <c:v>1.4630369E7</c:v>
                </c:pt>
                <c:pt idx="149">
                  <c:v>1.4793124E7</c:v>
                </c:pt>
                <c:pt idx="150">
                  <c:v>1.5099857E7</c:v>
                </c:pt>
                <c:pt idx="151">
                  <c:v>1.5229458E7</c:v>
                </c:pt>
                <c:pt idx="152">
                  <c:v>1.5422722E7</c:v>
                </c:pt>
                <c:pt idx="153">
                  <c:v>1.5340433E7</c:v>
                </c:pt>
                <c:pt idx="154">
                  <c:v>1.6009777E7</c:v>
                </c:pt>
                <c:pt idx="155">
                  <c:v>1.6209922E7</c:v>
                </c:pt>
                <c:pt idx="156">
                  <c:v>1.6240418E7</c:v>
                </c:pt>
                <c:pt idx="157">
                  <c:v>1.6181796E7</c:v>
                </c:pt>
                <c:pt idx="158">
                  <c:v>1.6013352E7</c:v>
                </c:pt>
                <c:pt idx="159">
                  <c:v>1.6444814E7</c:v>
                </c:pt>
                <c:pt idx="160">
                  <c:v>1.6091041E7</c:v>
                </c:pt>
                <c:pt idx="161">
                  <c:v>1.6047146E7</c:v>
                </c:pt>
                <c:pt idx="162">
                  <c:v>1.5768754E7</c:v>
                </c:pt>
                <c:pt idx="163">
                  <c:v>1.5366718E7</c:v>
                </c:pt>
                <c:pt idx="164">
                  <c:v>1.4797851E7</c:v>
                </c:pt>
                <c:pt idx="165">
                  <c:v>1.4635611E7</c:v>
                </c:pt>
                <c:pt idx="166">
                  <c:v>1.3878325E7</c:v>
                </c:pt>
                <c:pt idx="167">
                  <c:v>1.4024322E7</c:v>
                </c:pt>
                <c:pt idx="168">
                  <c:v>1.3860911E7</c:v>
                </c:pt>
                <c:pt idx="169">
                  <c:v>1.367887E7</c:v>
                </c:pt>
                <c:pt idx="170">
                  <c:v>1.3562654E7</c:v>
                </c:pt>
                <c:pt idx="171">
                  <c:v>1.2867251E7</c:v>
                </c:pt>
                <c:pt idx="172">
                  <c:v>1.2913116E7</c:v>
                </c:pt>
                <c:pt idx="173">
                  <c:v>1.2723187E7</c:v>
                </c:pt>
                <c:pt idx="174">
                  <c:v>1.3117779E7</c:v>
                </c:pt>
                <c:pt idx="175">
                  <c:v>1.3680349E7</c:v>
                </c:pt>
                <c:pt idx="176">
                  <c:v>1.4249051E7</c:v>
                </c:pt>
                <c:pt idx="177">
                  <c:v>1.4504026E7</c:v>
                </c:pt>
                <c:pt idx="178">
                  <c:v>1.4629575E7</c:v>
                </c:pt>
                <c:pt idx="179">
                  <c:v>1.4573621E7</c:v>
                </c:pt>
                <c:pt idx="180">
                  <c:v>1.4675E7</c:v>
                </c:pt>
                <c:pt idx="181">
                  <c:v>1.5011442E7</c:v>
                </c:pt>
                <c:pt idx="182">
                  <c:v>1.4964161E7</c:v>
                </c:pt>
                <c:pt idx="183">
                  <c:v>1.5556643E7</c:v>
                </c:pt>
                <c:pt idx="184">
                  <c:v>1.5395744E7</c:v>
                </c:pt>
                <c:pt idx="185">
                  <c:v>1.5155572E7</c:v>
                </c:pt>
                <c:pt idx="186">
                  <c:v>1.5094467E7</c:v>
                </c:pt>
                <c:pt idx="187">
                  <c:v>1.4699039E7</c:v>
                </c:pt>
                <c:pt idx="188">
                  <c:v>1.4357928E7</c:v>
                </c:pt>
                <c:pt idx="189">
                  <c:v>1.4433076E7</c:v>
                </c:pt>
                <c:pt idx="190">
                  <c:v>1.454866E7</c:v>
                </c:pt>
                <c:pt idx="191">
                  <c:v>1.418578E7</c:v>
                </c:pt>
                <c:pt idx="192">
                  <c:v>1.4009513E7</c:v>
                </c:pt>
                <c:pt idx="193">
                  <c:v>1.3664977E7</c:v>
                </c:pt>
                <c:pt idx="194">
                  <c:v>1.3566604E7</c:v>
                </c:pt>
                <c:pt idx="195">
                  <c:v>1.3543622E7</c:v>
                </c:pt>
                <c:pt idx="196">
                  <c:v>1.3818481E7</c:v>
                </c:pt>
                <c:pt idx="197">
                  <c:v>1.4454192E7</c:v>
                </c:pt>
                <c:pt idx="198">
                  <c:v>1.4431609E7</c:v>
                </c:pt>
                <c:pt idx="199">
                  <c:v>1.4436874E7</c:v>
                </c:pt>
                <c:pt idx="200">
                  <c:v>1.4631499E7</c:v>
                </c:pt>
                <c:pt idx="201">
                  <c:v>1.4550453E7</c:v>
                </c:pt>
                <c:pt idx="202">
                  <c:v>1.4347073E7</c:v>
                </c:pt>
                <c:pt idx="203">
                  <c:v>1.4633406E7</c:v>
                </c:pt>
                <c:pt idx="204">
                  <c:v>1.4915816E7</c:v>
                </c:pt>
                <c:pt idx="205">
                  <c:v>1.5215041E7</c:v>
                </c:pt>
                <c:pt idx="206">
                  <c:v>1.5760621E7</c:v>
                </c:pt>
                <c:pt idx="207">
                  <c:v>1.5671589E7</c:v>
                </c:pt>
                <c:pt idx="208">
                  <c:v>1.5590843E7</c:v>
                </c:pt>
                <c:pt idx="209">
                  <c:v>1.5549117E7</c:v>
                </c:pt>
                <c:pt idx="210">
                  <c:v>1.5515525E7</c:v>
                </c:pt>
                <c:pt idx="211">
                  <c:v>1.5815885E7</c:v>
                </c:pt>
                <c:pt idx="212">
                  <c:v>1.6051744E7</c:v>
                </c:pt>
                <c:pt idx="213">
                  <c:v>1.6104546E7</c:v>
                </c:pt>
                <c:pt idx="214">
                  <c:v>1.6511014E7</c:v>
                </c:pt>
                <c:pt idx="215">
                  <c:v>1.6953175E7</c:v>
                </c:pt>
                <c:pt idx="216">
                  <c:v>1.7041948E7</c:v>
                </c:pt>
                <c:pt idx="217">
                  <c:v>1.7063224E7</c:v>
                </c:pt>
                <c:pt idx="218">
                  <c:v>1.6738528E7</c:v>
                </c:pt>
                <c:pt idx="219">
                  <c:v>1.6686128E7</c:v>
                </c:pt>
                <c:pt idx="220">
                  <c:v>1.7050496E7</c:v>
                </c:pt>
                <c:pt idx="221">
                  <c:v>1.7111252E7</c:v>
                </c:pt>
                <c:pt idx="222">
                  <c:v>1.7846266E7</c:v>
                </c:pt>
                <c:pt idx="223">
                  <c:v>1.8355706E7</c:v>
                </c:pt>
                <c:pt idx="224">
                  <c:v>1.8687586E7</c:v>
                </c:pt>
                <c:pt idx="225">
                  <c:v>1.9147199E7</c:v>
                </c:pt>
                <c:pt idx="226">
                  <c:v>1.9522423E7</c:v>
                </c:pt>
                <c:pt idx="227">
                  <c:v>1.9557595E7</c:v>
                </c:pt>
                <c:pt idx="228">
                  <c:v>2.040193E7</c:v>
                </c:pt>
                <c:pt idx="229">
                  <c:v>2.0833811E7</c:v>
                </c:pt>
                <c:pt idx="230">
                  <c:v>2.1474177E7</c:v>
                </c:pt>
                <c:pt idx="231">
                  <c:v>2.1718652E7</c:v>
                </c:pt>
                <c:pt idx="232">
                  <c:v>2.2194976E7</c:v>
                </c:pt>
                <c:pt idx="233">
                  <c:v>2.2927627E7</c:v>
                </c:pt>
                <c:pt idx="234">
                  <c:v>2.3546397E7</c:v>
                </c:pt>
                <c:pt idx="235">
                  <c:v>2.4334049E7</c:v>
                </c:pt>
                <c:pt idx="236">
                  <c:v>2.4987397E7</c:v>
                </c:pt>
                <c:pt idx="237">
                  <c:v>2.5667809E7</c:v>
                </c:pt>
                <c:pt idx="238">
                  <c:v>2.6454768E7</c:v>
                </c:pt>
                <c:pt idx="239">
                  <c:v>2.6789655E7</c:v>
                </c:pt>
                <c:pt idx="240">
                  <c:v>2.6958692E7</c:v>
                </c:pt>
                <c:pt idx="241">
                  <c:v>2.687484E7</c:v>
                </c:pt>
                <c:pt idx="242">
                  <c:v>2.6934415E7</c:v>
                </c:pt>
                <c:pt idx="243">
                  <c:v>2.7192461E7</c:v>
                </c:pt>
                <c:pt idx="244">
                  <c:v>2.6733906E7</c:v>
                </c:pt>
                <c:pt idx="245">
                  <c:v>2.5884368E7</c:v>
                </c:pt>
                <c:pt idx="246">
                  <c:v>2.4856383E7</c:v>
                </c:pt>
                <c:pt idx="247">
                  <c:v>2.4107407E7</c:v>
                </c:pt>
                <c:pt idx="248">
                  <c:v>2.3759915E7</c:v>
                </c:pt>
                <c:pt idx="249">
                  <c:v>2.3097717E7</c:v>
                </c:pt>
                <c:pt idx="250">
                  <c:v>2.2150897E7</c:v>
                </c:pt>
                <c:pt idx="251">
                  <c:v>2.1740869E7</c:v>
                </c:pt>
                <c:pt idx="252">
                  <c:v>2.1069013E7</c:v>
                </c:pt>
                <c:pt idx="253">
                  <c:v>2.0776629E7</c:v>
                </c:pt>
                <c:pt idx="254">
                  <c:v>2.0356435E7</c:v>
                </c:pt>
                <c:pt idx="255">
                  <c:v>1.9864112E7</c:v>
                </c:pt>
                <c:pt idx="256">
                  <c:v>2.060849E7</c:v>
                </c:pt>
                <c:pt idx="257">
                  <c:v>2.1534812E7</c:v>
                </c:pt>
                <c:pt idx="258">
                  <c:v>2.2230984E7</c:v>
                </c:pt>
                <c:pt idx="259">
                  <c:v>2.2417133E7</c:v>
                </c:pt>
                <c:pt idx="260">
                  <c:v>2.2384934E7</c:v>
                </c:pt>
                <c:pt idx="261">
                  <c:v>2.2701158E7</c:v>
                </c:pt>
                <c:pt idx="262">
                  <c:v>2.2745205E7</c:v>
                </c:pt>
                <c:pt idx="263">
                  <c:v>2.2946844E7</c:v>
                </c:pt>
                <c:pt idx="264">
                  <c:v>2.3536046E7</c:v>
                </c:pt>
                <c:pt idx="265">
                  <c:v>2.382843E7</c:v>
                </c:pt>
                <c:pt idx="266">
                  <c:v>2.4248624E7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571336"/>
        <c:axId val="2101529064"/>
      </c:barChart>
      <c:lineChart>
        <c:grouping val="standard"/>
        <c:varyColors val="0"/>
        <c:ser>
          <c:idx val="0"/>
          <c:order val="1"/>
          <c:tx>
            <c:v>Profit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'Month S&amp;P'!$A$14:$A$318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S&amp;P'!$H$14:$H$280</c:f>
              <c:numCache>
                <c:formatCode>#,##0_);[Red]\(#,##0\)</c:formatCode>
                <c:ptCount val="267"/>
                <c:pt idx="1">
                  <c:v>647196.0</c:v>
                </c:pt>
                <c:pt idx="2">
                  <c:v>435886.0</c:v>
                </c:pt>
                <c:pt idx="3">
                  <c:v>375681.0</c:v>
                </c:pt>
                <c:pt idx="4">
                  <c:v>381466.0</c:v>
                </c:pt>
                <c:pt idx="5">
                  <c:v>510081.0</c:v>
                </c:pt>
                <c:pt idx="6">
                  <c:v>556238.0</c:v>
                </c:pt>
                <c:pt idx="7">
                  <c:v>386031.0</c:v>
                </c:pt>
                <c:pt idx="8">
                  <c:v>353078.0</c:v>
                </c:pt>
                <c:pt idx="9">
                  <c:v>321907.0</c:v>
                </c:pt>
                <c:pt idx="10">
                  <c:v>332224.0</c:v>
                </c:pt>
                <c:pt idx="11">
                  <c:v>433337.0</c:v>
                </c:pt>
                <c:pt idx="12">
                  <c:v>701977.0</c:v>
                </c:pt>
                <c:pt idx="13">
                  <c:v>775645.0</c:v>
                </c:pt>
                <c:pt idx="14">
                  <c:v>738175.0</c:v>
                </c:pt>
                <c:pt idx="15">
                  <c:v>1.043965E6</c:v>
                </c:pt>
                <c:pt idx="16">
                  <c:v>1.190022E6</c:v>
                </c:pt>
                <c:pt idx="17">
                  <c:v>1.053977E6</c:v>
                </c:pt>
                <c:pt idx="18">
                  <c:v>1.017682E6</c:v>
                </c:pt>
                <c:pt idx="19">
                  <c:v>1.064565E6</c:v>
                </c:pt>
                <c:pt idx="20">
                  <c:v>1.102093E6</c:v>
                </c:pt>
                <c:pt idx="21">
                  <c:v>1.156302E6</c:v>
                </c:pt>
                <c:pt idx="22">
                  <c:v>994353.0</c:v>
                </c:pt>
                <c:pt idx="23">
                  <c:v>783371.0</c:v>
                </c:pt>
                <c:pt idx="24">
                  <c:v>707259.0</c:v>
                </c:pt>
                <c:pt idx="25">
                  <c:v>334296.0</c:v>
                </c:pt>
                <c:pt idx="26">
                  <c:v>360458.0</c:v>
                </c:pt>
                <c:pt idx="27">
                  <c:v>48336.0</c:v>
                </c:pt>
                <c:pt idx="28">
                  <c:v>83877.0</c:v>
                </c:pt>
                <c:pt idx="29">
                  <c:v>251473.0</c:v>
                </c:pt>
                <c:pt idx="30">
                  <c:v>217826.0</c:v>
                </c:pt>
                <c:pt idx="31">
                  <c:v>241138.0</c:v>
                </c:pt>
                <c:pt idx="32">
                  <c:v>215463.0</c:v>
                </c:pt>
                <c:pt idx="33">
                  <c:v>102454.0</c:v>
                </c:pt>
                <c:pt idx="34">
                  <c:v>425983.0</c:v>
                </c:pt>
                <c:pt idx="35">
                  <c:v>819636.0</c:v>
                </c:pt>
                <c:pt idx="36">
                  <c:v>1.056133E6</c:v>
                </c:pt>
                <c:pt idx="37">
                  <c:v>1.378411E6</c:v>
                </c:pt>
                <c:pt idx="38">
                  <c:v>1.405179E6</c:v>
                </c:pt>
                <c:pt idx="39">
                  <c:v>1.532427E6</c:v>
                </c:pt>
                <c:pt idx="40">
                  <c:v>1.485841E6</c:v>
                </c:pt>
                <c:pt idx="41">
                  <c:v>1.460479E6</c:v>
                </c:pt>
                <c:pt idx="42">
                  <c:v>1.472296E6</c:v>
                </c:pt>
                <c:pt idx="43">
                  <c:v>1.632535E6</c:v>
                </c:pt>
                <c:pt idx="44">
                  <c:v>1.595045E6</c:v>
                </c:pt>
                <c:pt idx="45">
                  <c:v>1.522068E6</c:v>
                </c:pt>
                <c:pt idx="46">
                  <c:v>1.237307E6</c:v>
                </c:pt>
                <c:pt idx="47">
                  <c:v>653743.0</c:v>
                </c:pt>
                <c:pt idx="48">
                  <c:v>22000.0</c:v>
                </c:pt>
                <c:pt idx="49">
                  <c:v>13841.0</c:v>
                </c:pt>
                <c:pt idx="50">
                  <c:v>-56407.0</c:v>
                </c:pt>
                <c:pt idx="51">
                  <c:v>-70835.0</c:v>
                </c:pt>
                <c:pt idx="52">
                  <c:v>-15589.0</c:v>
                </c:pt>
                <c:pt idx="53">
                  <c:v>-38426.47</c:v>
                </c:pt>
                <c:pt idx="54">
                  <c:v>25939.29000000001</c:v>
                </c:pt>
                <c:pt idx="55">
                  <c:v>-332265.71</c:v>
                </c:pt>
                <c:pt idx="56">
                  <c:v>-378658.71</c:v>
                </c:pt>
                <c:pt idx="57">
                  <c:v>-390074.3</c:v>
                </c:pt>
                <c:pt idx="58">
                  <c:v>-313351.3</c:v>
                </c:pt>
                <c:pt idx="59">
                  <c:v>179987.83</c:v>
                </c:pt>
                <c:pt idx="60">
                  <c:v>630314.1400000001</c:v>
                </c:pt>
                <c:pt idx="61">
                  <c:v>314358.1400000001</c:v>
                </c:pt>
                <c:pt idx="62">
                  <c:v>309016.8100000002</c:v>
                </c:pt>
                <c:pt idx="63">
                  <c:v>359362.8100000002</c:v>
                </c:pt>
                <c:pt idx="64">
                  <c:v>241908.8100000002</c:v>
                </c:pt>
                <c:pt idx="65">
                  <c:v>-60470.18999999994</c:v>
                </c:pt>
                <c:pt idx="66">
                  <c:v>94215.73000000004</c:v>
                </c:pt>
                <c:pt idx="67">
                  <c:v>29368.73000000004</c:v>
                </c:pt>
                <c:pt idx="68">
                  <c:v>137296.73</c:v>
                </c:pt>
                <c:pt idx="69">
                  <c:v>321402.32</c:v>
                </c:pt>
                <c:pt idx="70">
                  <c:v>373298.32</c:v>
                </c:pt>
                <c:pt idx="71">
                  <c:v>471479.19</c:v>
                </c:pt>
                <c:pt idx="72">
                  <c:v>451942.8800000001</c:v>
                </c:pt>
                <c:pt idx="73">
                  <c:v>444840.266</c:v>
                </c:pt>
                <c:pt idx="74">
                  <c:v>538134.7659999999</c:v>
                </c:pt>
                <c:pt idx="75">
                  <c:v>407529.3009999999</c:v>
                </c:pt>
                <c:pt idx="76">
                  <c:v>212359.5374999999</c:v>
                </c:pt>
                <c:pt idx="77">
                  <c:v>248845.0814999999</c:v>
                </c:pt>
                <c:pt idx="78">
                  <c:v>-160601.8785</c:v>
                </c:pt>
                <c:pt idx="79">
                  <c:v>-117453.6510000001</c:v>
                </c:pt>
                <c:pt idx="80">
                  <c:v>33928.85700000002</c:v>
                </c:pt>
                <c:pt idx="81">
                  <c:v>-144676.097</c:v>
                </c:pt>
                <c:pt idx="82">
                  <c:v>-299114.6604999999</c:v>
                </c:pt>
                <c:pt idx="83">
                  <c:v>-338130.9890000001</c:v>
                </c:pt>
                <c:pt idx="84">
                  <c:v>-549099.1870000002</c:v>
                </c:pt>
                <c:pt idx="85">
                  <c:v>-427987.5750000001</c:v>
                </c:pt>
                <c:pt idx="86">
                  <c:v>-229674.153</c:v>
                </c:pt>
                <c:pt idx="87">
                  <c:v>-440329.6800000001</c:v>
                </c:pt>
                <c:pt idx="88">
                  <c:v>-223751.8765</c:v>
                </c:pt>
                <c:pt idx="89">
                  <c:v>73943.1695</c:v>
                </c:pt>
                <c:pt idx="90">
                  <c:v>117085.5244999999</c:v>
                </c:pt>
                <c:pt idx="91">
                  <c:v>-160338.428</c:v>
                </c:pt>
                <c:pt idx="92">
                  <c:v>-411071.311</c:v>
                </c:pt>
                <c:pt idx="93">
                  <c:v>-360238.917</c:v>
                </c:pt>
                <c:pt idx="94">
                  <c:v>-627594.0015</c:v>
                </c:pt>
                <c:pt idx="95">
                  <c:v>-708286.441</c:v>
                </c:pt>
                <c:pt idx="96">
                  <c:v>-319863.523</c:v>
                </c:pt>
                <c:pt idx="97">
                  <c:v>-79350.85400000003</c:v>
                </c:pt>
                <c:pt idx="98">
                  <c:v>-208091.625</c:v>
                </c:pt>
                <c:pt idx="99">
                  <c:v>30611.02700000002</c:v>
                </c:pt>
                <c:pt idx="100">
                  <c:v>-173725.546</c:v>
                </c:pt>
                <c:pt idx="101">
                  <c:v>-291753.5550000001</c:v>
                </c:pt>
                <c:pt idx="102">
                  <c:v>-418957.343</c:v>
                </c:pt>
                <c:pt idx="103">
                  <c:v>-162060.739</c:v>
                </c:pt>
                <c:pt idx="104">
                  <c:v>-173078.7399999999</c:v>
                </c:pt>
                <c:pt idx="105">
                  <c:v>-194233.2859999999</c:v>
                </c:pt>
                <c:pt idx="106">
                  <c:v>281367.855</c:v>
                </c:pt>
                <c:pt idx="107">
                  <c:v>155780.9730000001</c:v>
                </c:pt>
                <c:pt idx="108">
                  <c:v>36242.26300000002</c:v>
                </c:pt>
                <c:pt idx="109">
                  <c:v>41889.59600000004</c:v>
                </c:pt>
                <c:pt idx="110">
                  <c:v>-166656.2249999999</c:v>
                </c:pt>
                <c:pt idx="111">
                  <c:v>-313981.885</c:v>
                </c:pt>
                <c:pt idx="112">
                  <c:v>-130832.352</c:v>
                </c:pt>
                <c:pt idx="113">
                  <c:v>-423834.4629999999</c:v>
                </c:pt>
                <c:pt idx="114">
                  <c:v>-265273.75</c:v>
                </c:pt>
                <c:pt idx="115">
                  <c:v>-205728.629</c:v>
                </c:pt>
                <c:pt idx="116">
                  <c:v>-345912.253</c:v>
                </c:pt>
                <c:pt idx="117">
                  <c:v>-832874.147</c:v>
                </c:pt>
                <c:pt idx="118">
                  <c:v>-907438.64</c:v>
                </c:pt>
                <c:pt idx="119">
                  <c:v>-803437.99</c:v>
                </c:pt>
                <c:pt idx="120">
                  <c:v>-844960.0</c:v>
                </c:pt>
                <c:pt idx="121">
                  <c:v>-712908.0</c:v>
                </c:pt>
                <c:pt idx="122">
                  <c:v>-573052.0</c:v>
                </c:pt>
                <c:pt idx="123">
                  <c:v>-172497.0</c:v>
                </c:pt>
                <c:pt idx="124">
                  <c:v>-86026.0</c:v>
                </c:pt>
                <c:pt idx="125">
                  <c:v>306338.0</c:v>
                </c:pt>
                <c:pt idx="126">
                  <c:v>351707.0</c:v>
                </c:pt>
                <c:pt idx="127">
                  <c:v>568076.0</c:v>
                </c:pt>
                <c:pt idx="128">
                  <c:v>765468.0</c:v>
                </c:pt>
                <c:pt idx="129">
                  <c:v>1.349639E6</c:v>
                </c:pt>
                <c:pt idx="130">
                  <c:v>1.175647E6</c:v>
                </c:pt>
                <c:pt idx="131">
                  <c:v>1.140711E6</c:v>
                </c:pt>
                <c:pt idx="132">
                  <c:v>1.121905E6</c:v>
                </c:pt>
                <c:pt idx="133">
                  <c:v>994713.0</c:v>
                </c:pt>
                <c:pt idx="134">
                  <c:v>1.166706E6</c:v>
                </c:pt>
                <c:pt idx="135">
                  <c:v>1.190695E6</c:v>
                </c:pt>
                <c:pt idx="136">
                  <c:v>1.11292E6</c:v>
                </c:pt>
                <c:pt idx="137">
                  <c:v>1.421583E6</c:v>
                </c:pt>
                <c:pt idx="138">
                  <c:v>1.628156E6</c:v>
                </c:pt>
                <c:pt idx="139">
                  <c:v>1.589573E6</c:v>
                </c:pt>
                <c:pt idx="140">
                  <c:v>1.659849E6</c:v>
                </c:pt>
                <c:pt idx="141">
                  <c:v>1.744319E6</c:v>
                </c:pt>
                <c:pt idx="142">
                  <c:v>1.988398E6</c:v>
                </c:pt>
                <c:pt idx="143">
                  <c:v>1.823946E6</c:v>
                </c:pt>
                <c:pt idx="144">
                  <c:v>1.860698E6</c:v>
                </c:pt>
                <c:pt idx="145">
                  <c:v>1.837484E6</c:v>
                </c:pt>
                <c:pt idx="146">
                  <c:v>2.003081E6</c:v>
                </c:pt>
                <c:pt idx="147">
                  <c:v>1.980105E6</c:v>
                </c:pt>
                <c:pt idx="148">
                  <c:v>2.426976E6</c:v>
                </c:pt>
                <c:pt idx="149">
                  <c:v>2.37318E6</c:v>
                </c:pt>
                <c:pt idx="150">
                  <c:v>2.539883E6</c:v>
                </c:pt>
                <c:pt idx="151">
                  <c:v>2.421901E6</c:v>
                </c:pt>
                <c:pt idx="152">
                  <c:v>2.460099E6</c:v>
                </c:pt>
                <c:pt idx="153">
                  <c:v>2.324758E6</c:v>
                </c:pt>
                <c:pt idx="154">
                  <c:v>2.741003E6</c:v>
                </c:pt>
                <c:pt idx="155">
                  <c:v>2.845875E6</c:v>
                </c:pt>
                <c:pt idx="156">
                  <c:v>2.639717E6</c:v>
                </c:pt>
                <c:pt idx="157">
                  <c:v>2.505731E6</c:v>
                </c:pt>
                <c:pt idx="158">
                  <c:v>2.26158E6</c:v>
                </c:pt>
                <c:pt idx="159">
                  <c:v>2.53061E6</c:v>
                </c:pt>
                <c:pt idx="160">
                  <c:v>2.127039E6</c:v>
                </c:pt>
                <c:pt idx="161">
                  <c:v>2.131101E6</c:v>
                </c:pt>
                <c:pt idx="162">
                  <c:v>1.779468E6</c:v>
                </c:pt>
                <c:pt idx="163">
                  <c:v>1.521358E6</c:v>
                </c:pt>
                <c:pt idx="164">
                  <c:v>1.073965E6</c:v>
                </c:pt>
                <c:pt idx="165">
                  <c:v>964195.0</c:v>
                </c:pt>
                <c:pt idx="166">
                  <c:v>306151.0</c:v>
                </c:pt>
                <c:pt idx="167">
                  <c:v>420588.0</c:v>
                </c:pt>
                <c:pt idx="168">
                  <c:v>528302.0</c:v>
                </c:pt>
                <c:pt idx="169">
                  <c:v>420991.0</c:v>
                </c:pt>
                <c:pt idx="170">
                  <c:v>417198.0</c:v>
                </c:pt>
                <c:pt idx="171">
                  <c:v>-114099.0</c:v>
                </c:pt>
                <c:pt idx="172">
                  <c:v>85082.0</c:v>
                </c:pt>
                <c:pt idx="173">
                  <c:v>-147509.0</c:v>
                </c:pt>
                <c:pt idx="174">
                  <c:v>242623.0</c:v>
                </c:pt>
                <c:pt idx="175">
                  <c:v>476777.0</c:v>
                </c:pt>
                <c:pt idx="176">
                  <c:v>960667.0</c:v>
                </c:pt>
                <c:pt idx="177">
                  <c:v>1.184846E6</c:v>
                </c:pt>
                <c:pt idx="178">
                  <c:v>1.208607E6</c:v>
                </c:pt>
                <c:pt idx="179">
                  <c:v>1.160118E6</c:v>
                </c:pt>
                <c:pt idx="180">
                  <c:v>952096.0</c:v>
                </c:pt>
                <c:pt idx="181">
                  <c:v>1.076346E6</c:v>
                </c:pt>
                <c:pt idx="182">
                  <c:v>827575.0</c:v>
                </c:pt>
                <c:pt idx="183">
                  <c:v>1.159847E6</c:v>
                </c:pt>
                <c:pt idx="184">
                  <c:v>820468.0</c:v>
                </c:pt>
                <c:pt idx="185">
                  <c:v>523391.0</c:v>
                </c:pt>
                <c:pt idx="186">
                  <c:v>449949.0</c:v>
                </c:pt>
                <c:pt idx="187">
                  <c:v>76765.0</c:v>
                </c:pt>
                <c:pt idx="188">
                  <c:v>-281516.0</c:v>
                </c:pt>
                <c:pt idx="189">
                  <c:v>-270406.0</c:v>
                </c:pt>
                <c:pt idx="190">
                  <c:v>-47734.0</c:v>
                </c:pt>
                <c:pt idx="191">
                  <c:v>-314336.0</c:v>
                </c:pt>
                <c:pt idx="192">
                  <c:v>-253094.0</c:v>
                </c:pt>
                <c:pt idx="193">
                  <c:v>-490360.0</c:v>
                </c:pt>
                <c:pt idx="194">
                  <c:v>-537031.0</c:v>
                </c:pt>
                <c:pt idx="195">
                  <c:v>-427216.0</c:v>
                </c:pt>
                <c:pt idx="196">
                  <c:v>-139173.0</c:v>
                </c:pt>
                <c:pt idx="197">
                  <c:v>428586.0</c:v>
                </c:pt>
                <c:pt idx="198">
                  <c:v>241459.0</c:v>
                </c:pt>
                <c:pt idx="199">
                  <c:v>265137.0</c:v>
                </c:pt>
                <c:pt idx="200">
                  <c:v>435803.0</c:v>
                </c:pt>
                <c:pt idx="201">
                  <c:v>271077.0</c:v>
                </c:pt>
                <c:pt idx="202">
                  <c:v>-1735.0</c:v>
                </c:pt>
                <c:pt idx="203">
                  <c:v>68414.0</c:v>
                </c:pt>
                <c:pt idx="204">
                  <c:v>165702.0</c:v>
                </c:pt>
                <c:pt idx="205">
                  <c:v>386166.0</c:v>
                </c:pt>
                <c:pt idx="206">
                  <c:v>732712.0</c:v>
                </c:pt>
                <c:pt idx="207">
                  <c:v>297565.0</c:v>
                </c:pt>
                <c:pt idx="208">
                  <c:v>142841.0</c:v>
                </c:pt>
                <c:pt idx="209">
                  <c:v>-85499.0</c:v>
                </c:pt>
                <c:pt idx="210">
                  <c:v>-306146.0</c:v>
                </c:pt>
                <c:pt idx="211">
                  <c:v>-67402.0</c:v>
                </c:pt>
                <c:pt idx="212">
                  <c:v>-214124.0</c:v>
                </c:pt>
                <c:pt idx="213">
                  <c:v>-331286.0</c:v>
                </c:pt>
                <c:pt idx="214">
                  <c:v>-140259.0</c:v>
                </c:pt>
                <c:pt idx="215">
                  <c:v>166113.0</c:v>
                </c:pt>
                <c:pt idx="216">
                  <c:v>76404.0</c:v>
                </c:pt>
                <c:pt idx="217">
                  <c:v>-81794.0</c:v>
                </c:pt>
                <c:pt idx="218">
                  <c:v>-430170.0</c:v>
                </c:pt>
                <c:pt idx="219">
                  <c:v>-402762.0</c:v>
                </c:pt>
                <c:pt idx="220">
                  <c:v>-238229.0</c:v>
                </c:pt>
                <c:pt idx="221">
                  <c:v>-336775.0</c:v>
                </c:pt>
                <c:pt idx="222">
                  <c:v>438174.0</c:v>
                </c:pt>
                <c:pt idx="223">
                  <c:v>779119.0</c:v>
                </c:pt>
                <c:pt idx="224">
                  <c:v>996368.0</c:v>
                </c:pt>
                <c:pt idx="225">
                  <c:v>1.20785E6</c:v>
                </c:pt>
                <c:pt idx="226">
                  <c:v>1.456156E6</c:v>
                </c:pt>
                <c:pt idx="227">
                  <c:v>1.317685E6</c:v>
                </c:pt>
                <c:pt idx="228">
                  <c:v>1.471472E6</c:v>
                </c:pt>
                <c:pt idx="229">
                  <c:v>1.782095E6</c:v>
                </c:pt>
                <c:pt idx="230">
                  <c:v>2.211316E6</c:v>
                </c:pt>
                <c:pt idx="231">
                  <c:v>2.339306E6</c:v>
                </c:pt>
                <c:pt idx="232">
                  <c:v>2.741273E6</c:v>
                </c:pt>
                <c:pt idx="233">
                  <c:v>3.255362E6</c:v>
                </c:pt>
                <c:pt idx="234">
                  <c:v>3.233245E6</c:v>
                </c:pt>
                <c:pt idx="235">
                  <c:v>3.578902E6</c:v>
                </c:pt>
                <c:pt idx="236">
                  <c:v>3.897328E6</c:v>
                </c:pt>
                <c:pt idx="237">
                  <c:v>4.230237E6</c:v>
                </c:pt>
                <c:pt idx="238">
                  <c:v>4.516905E6</c:v>
                </c:pt>
                <c:pt idx="239">
                  <c:v>4.431174E6</c:v>
                </c:pt>
                <c:pt idx="240">
                  <c:v>4.367788E6</c:v>
                </c:pt>
                <c:pt idx="241">
                  <c:v>4.128578E6</c:v>
                </c:pt>
                <c:pt idx="242">
                  <c:v>4.064409E6</c:v>
                </c:pt>
                <c:pt idx="243">
                  <c:v>4.275277E6</c:v>
                </c:pt>
                <c:pt idx="244">
                  <c:v>3.772879E6</c:v>
                </c:pt>
                <c:pt idx="245">
                  <c:v>2.919647E6</c:v>
                </c:pt>
                <c:pt idx="246">
                  <c:v>2.338161E6</c:v>
                </c:pt>
                <c:pt idx="247">
                  <c:v>1.901864E6</c:v>
                </c:pt>
                <c:pt idx="248">
                  <c:v>1.902429E6</c:v>
                </c:pt>
                <c:pt idx="249">
                  <c:v>1.39888E6</c:v>
                </c:pt>
                <c:pt idx="250">
                  <c:v>659978.0</c:v>
                </c:pt>
                <c:pt idx="251">
                  <c:v>626595.0</c:v>
                </c:pt>
                <c:pt idx="252">
                  <c:v>545774.0</c:v>
                </c:pt>
                <c:pt idx="253">
                  <c:v>325446.0</c:v>
                </c:pt>
                <c:pt idx="254">
                  <c:v>-35128.0</c:v>
                </c:pt>
                <c:pt idx="255">
                  <c:v>-699465.0</c:v>
                </c:pt>
                <c:pt idx="256">
                  <c:v>-175345.0</c:v>
                </c:pt>
                <c:pt idx="257">
                  <c:v>643482.0</c:v>
                </c:pt>
                <c:pt idx="258">
                  <c:v>1.198064E6</c:v>
                </c:pt>
                <c:pt idx="259">
                  <c:v>1.160332E6</c:v>
                </c:pt>
                <c:pt idx="260">
                  <c:v>1.147587E6</c:v>
                </c:pt>
                <c:pt idx="261">
                  <c:v>1.409881E6</c:v>
                </c:pt>
                <c:pt idx="262">
                  <c:v>1.48613E6</c:v>
                </c:pt>
                <c:pt idx="263">
                  <c:v>1.597842E6</c:v>
                </c:pt>
                <c:pt idx="264">
                  <c:v>1.937153E6</c:v>
                </c:pt>
                <c:pt idx="265">
                  <c:v>2.274944E6</c:v>
                </c:pt>
                <c:pt idx="266">
                  <c:v>2.55133E6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466712"/>
        <c:axId val="2101455320"/>
      </c:lineChart>
      <c:catAx>
        <c:axId val="2101571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32249322493225"/>
              <c:y val="0.947712418300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hicago"/>
                <a:ea typeface="Chicago"/>
                <a:cs typeface="Chicago"/>
              </a:defRPr>
            </a:pPr>
            <a:endParaRPr lang="en-US"/>
          </a:p>
        </c:txPr>
        <c:crossAx val="2101529064"/>
        <c:crosses val="autoZero"/>
        <c:auto val="0"/>
        <c:lblAlgn val="ctr"/>
        <c:lblOffset val="100"/>
        <c:tickLblSkip val="6"/>
        <c:tickMarkSkip val="3"/>
        <c:noMultiLvlLbl val="0"/>
      </c:catAx>
      <c:valAx>
        <c:axId val="21015290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0840108401084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571336"/>
        <c:crosses val="autoZero"/>
        <c:crossBetween val="between"/>
      </c:valAx>
      <c:catAx>
        <c:axId val="2101466712"/>
        <c:scaling>
          <c:orientation val="minMax"/>
        </c:scaling>
        <c:delete val="1"/>
        <c:axPos val="t"/>
        <c:majorTickMark val="out"/>
        <c:minorTickMark val="none"/>
        <c:tickLblPos val="nextTo"/>
        <c:crossAx val="2101455320"/>
        <c:crosses val="max"/>
        <c:auto val="0"/>
        <c:lblAlgn val="ctr"/>
        <c:lblOffset val="100"/>
        <c:noMultiLvlLbl val="0"/>
      </c:catAx>
      <c:valAx>
        <c:axId val="210145532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Profit (</a:t>
                </a:r>
                <a:r>
                  <a:rPr lang="en-US" sz="1000" b="1" i="0" u="none" strike="noStrike" baseline="0">
                    <a:solidFill>
                      <a:srgbClr val="DD0806"/>
                    </a:solidFill>
                    <a:latin typeface="Arial"/>
                    <a:ea typeface="Arial"/>
                    <a:cs typeface="Arial"/>
                  </a:rPr>
                  <a:t>Loss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875338753387534"/>
              <c:y val="0.4183006535947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01466712"/>
        <c:crosses val="max"/>
        <c:crossBetween val="between"/>
      </c:valAx>
      <c:spPr>
        <a:gradFill rotWithShape="0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9864498644986"/>
          <c:y val="0.145969498910675"/>
          <c:w val="0.0785907859078591"/>
          <c:h val="0.058823529411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Total CleanAir Debt</a:t>
            </a:r>
          </a:p>
        </c:rich>
      </c:tx>
      <c:layout>
        <c:manualLayout>
          <c:xMode val="edge"/>
          <c:yMode val="edge"/>
          <c:x val="0.34814814814814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222222222222"/>
          <c:y val="0.148148148148148"/>
          <c:w val="0.706666666666667"/>
          <c:h val="0.684095860566449"/>
        </c:manualLayout>
      </c:layout>
      <c:lineChart>
        <c:grouping val="standard"/>
        <c:varyColors val="0"/>
        <c:ser>
          <c:idx val="0"/>
          <c:order val="0"/>
          <c:tx>
            <c:strRef>
              <c:f>Debt!$B$1</c:f>
              <c:strCache>
                <c:ptCount val="1"/>
                <c:pt idx="0">
                  <c:v>Total Debt</c:v>
                </c:pt>
              </c:strCache>
            </c:strRef>
          </c:tx>
          <c:spPr>
            <a:ln w="38100">
              <a:solidFill>
                <a:srgbClr val="FCF305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CCFFCC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Debt!$A$2:$A$43</c:f>
              <c:numCache>
                <c:formatCode>mmm\-yy</c:formatCode>
                <c:ptCount val="42"/>
                <c:pt idx="0">
                  <c:v>33207.0</c:v>
                </c:pt>
                <c:pt idx="1">
                  <c:v>33572.0</c:v>
                </c:pt>
                <c:pt idx="2">
                  <c:v>33938.0</c:v>
                </c:pt>
                <c:pt idx="3">
                  <c:v>34303.0</c:v>
                </c:pt>
                <c:pt idx="4">
                  <c:v>34668.0</c:v>
                </c:pt>
                <c:pt idx="5">
                  <c:v>35033.0</c:v>
                </c:pt>
                <c:pt idx="6">
                  <c:v>35216.0</c:v>
                </c:pt>
                <c:pt idx="7">
                  <c:v>35246.0</c:v>
                </c:pt>
                <c:pt idx="8">
                  <c:v>35277.0</c:v>
                </c:pt>
                <c:pt idx="9">
                  <c:v>35308.0</c:v>
                </c:pt>
                <c:pt idx="10">
                  <c:v>35461.0</c:v>
                </c:pt>
                <c:pt idx="11">
                  <c:v>35520.0</c:v>
                </c:pt>
                <c:pt idx="12">
                  <c:v>35581.0</c:v>
                </c:pt>
                <c:pt idx="13">
                  <c:v>35611.0</c:v>
                </c:pt>
                <c:pt idx="14">
                  <c:v>35734.0</c:v>
                </c:pt>
                <c:pt idx="15">
                  <c:v>35796.0</c:v>
                </c:pt>
                <c:pt idx="16">
                  <c:v>35854.0</c:v>
                </c:pt>
                <c:pt idx="17">
                  <c:v>35946.0</c:v>
                </c:pt>
                <c:pt idx="18">
                  <c:v>36008.0</c:v>
                </c:pt>
                <c:pt idx="19">
                  <c:v>36097.0</c:v>
                </c:pt>
                <c:pt idx="20">
                  <c:v>36221.0</c:v>
                </c:pt>
                <c:pt idx="21">
                  <c:v>36374.0</c:v>
                </c:pt>
                <c:pt idx="22">
                  <c:v>36528.0</c:v>
                </c:pt>
                <c:pt idx="23">
                  <c:v>36616.0</c:v>
                </c:pt>
                <c:pt idx="24">
                  <c:v>36802.0</c:v>
                </c:pt>
                <c:pt idx="25">
                  <c:v>36954.0</c:v>
                </c:pt>
                <c:pt idx="26">
                  <c:v>36985.0</c:v>
                </c:pt>
                <c:pt idx="27">
                  <c:v>37015.0</c:v>
                </c:pt>
                <c:pt idx="28">
                  <c:v>37046.0</c:v>
                </c:pt>
                <c:pt idx="29">
                  <c:v>37256.0</c:v>
                </c:pt>
                <c:pt idx="30">
                  <c:v>37899.0</c:v>
                </c:pt>
                <c:pt idx="31">
                  <c:v>37718.0</c:v>
                </c:pt>
                <c:pt idx="32">
                  <c:v>38084.0</c:v>
                </c:pt>
                <c:pt idx="33">
                  <c:v>38168.0</c:v>
                </c:pt>
                <c:pt idx="34">
                  <c:v>38199.0</c:v>
                </c:pt>
                <c:pt idx="35">
                  <c:v>38321.0</c:v>
                </c:pt>
                <c:pt idx="36">
                  <c:v>38572.0</c:v>
                </c:pt>
                <c:pt idx="37">
                  <c:v>38969.0</c:v>
                </c:pt>
                <c:pt idx="38">
                  <c:v>38990.0</c:v>
                </c:pt>
                <c:pt idx="39">
                  <c:v>39081.0</c:v>
                </c:pt>
                <c:pt idx="40">
                  <c:v>38775.0</c:v>
                </c:pt>
                <c:pt idx="41">
                  <c:v>39233.0</c:v>
                </c:pt>
              </c:numCache>
            </c:numRef>
          </c:cat>
          <c:val>
            <c:numRef>
              <c:f>Debt!$B$2:$B$43</c:f>
              <c:numCache>
                <c:formatCode>"$"#,##0_);[Red]\("$"#,##0\)</c:formatCode>
                <c:ptCount val="42"/>
                <c:pt idx="0">
                  <c:v>7.139148E6</c:v>
                </c:pt>
                <c:pt idx="1">
                  <c:v>7.374765E6</c:v>
                </c:pt>
                <c:pt idx="2">
                  <c:v>6.168132E6</c:v>
                </c:pt>
                <c:pt idx="3">
                  <c:v>5.346876E6</c:v>
                </c:pt>
                <c:pt idx="4">
                  <c:v>5.503185E6</c:v>
                </c:pt>
                <c:pt idx="5">
                  <c:v>4.904259E6</c:v>
                </c:pt>
                <c:pt idx="6">
                  <c:v>4.091736E6</c:v>
                </c:pt>
                <c:pt idx="7">
                  <c:v>4.12552046E6</c:v>
                </c:pt>
                <c:pt idx="8">
                  <c:v>4.06645921E6</c:v>
                </c:pt>
                <c:pt idx="9">
                  <c:v>4.15193089E6</c:v>
                </c:pt>
                <c:pt idx="10">
                  <c:v>3.20918568E6</c:v>
                </c:pt>
                <c:pt idx="11">
                  <c:v>3.707147E6</c:v>
                </c:pt>
                <c:pt idx="12">
                  <c:v>3.646787E6</c:v>
                </c:pt>
                <c:pt idx="13">
                  <c:v>3.9096566E6</c:v>
                </c:pt>
                <c:pt idx="14">
                  <c:v>3.448703E6</c:v>
                </c:pt>
                <c:pt idx="15">
                  <c:v>3.64293643E6</c:v>
                </c:pt>
                <c:pt idx="16">
                  <c:v>3.2990545E6</c:v>
                </c:pt>
                <c:pt idx="17">
                  <c:v>3.16065486E6</c:v>
                </c:pt>
                <c:pt idx="18">
                  <c:v>2.97435071E6</c:v>
                </c:pt>
                <c:pt idx="19">
                  <c:v>2.94314152E6</c:v>
                </c:pt>
                <c:pt idx="20">
                  <c:v>3.03734443E6</c:v>
                </c:pt>
                <c:pt idx="21">
                  <c:v>3.49391965E6</c:v>
                </c:pt>
                <c:pt idx="22">
                  <c:v>3.16164772E6</c:v>
                </c:pt>
                <c:pt idx="23">
                  <c:v>3.31745739E6</c:v>
                </c:pt>
                <c:pt idx="24">
                  <c:v>2.90097168E6</c:v>
                </c:pt>
                <c:pt idx="25">
                  <c:v>2.30561296E6</c:v>
                </c:pt>
                <c:pt idx="26">
                  <c:v>2.29955456E6</c:v>
                </c:pt>
                <c:pt idx="27">
                  <c:v>2.62795531E6</c:v>
                </c:pt>
                <c:pt idx="28">
                  <c:v>2.56662223E6</c:v>
                </c:pt>
                <c:pt idx="29">
                  <c:v>2.94585093E6</c:v>
                </c:pt>
                <c:pt idx="30">
                  <c:v>3.00169051E6</c:v>
                </c:pt>
                <c:pt idx="31">
                  <c:v>3.81176416E6</c:v>
                </c:pt>
                <c:pt idx="32">
                  <c:v>3.14210979E6</c:v>
                </c:pt>
                <c:pt idx="33">
                  <c:v>3.70877505E6</c:v>
                </c:pt>
                <c:pt idx="34">
                  <c:v>2.49363791E6</c:v>
                </c:pt>
                <c:pt idx="35">
                  <c:v>1.26026174E6</c:v>
                </c:pt>
                <c:pt idx="36">
                  <c:v>1.418863E6</c:v>
                </c:pt>
                <c:pt idx="37">
                  <c:v>676699.7599999999</c:v>
                </c:pt>
                <c:pt idx="38">
                  <c:v>674558.49</c:v>
                </c:pt>
                <c:pt idx="39">
                  <c:v>525422.79</c:v>
                </c:pt>
                <c:pt idx="40">
                  <c:v>579441.7000000001</c:v>
                </c:pt>
                <c:pt idx="41">
                  <c:v>1.05669608E6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889656"/>
        <c:axId val="-2137643544"/>
      </c:lineChart>
      <c:dateAx>
        <c:axId val="-2137889656"/>
        <c:scaling>
          <c:orientation val="minMax"/>
          <c:max val="40817.0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37643544"/>
        <c:crosses val="autoZero"/>
        <c:auto val="1"/>
        <c:lblOffset val="100"/>
        <c:baseTimeUnit val="days"/>
        <c:majorUnit val="1.0"/>
        <c:majorTimeUnit val="years"/>
        <c:minorUnit val="6.0"/>
        <c:minorTimeUnit val="months"/>
      </c:dateAx>
      <c:valAx>
        <c:axId val="-2137643544"/>
        <c:scaling>
          <c:orientation val="minMax"/>
        </c:scaling>
        <c:delete val="0"/>
        <c:axPos val="l"/>
        <c:majorGridlines>
          <c:spPr>
            <a:ln w="3175">
              <a:solidFill>
                <a:srgbClr val="DD0806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1378896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00000" mc:Ignorable="a14" a14:legacySpreadsheetColorIndex="16"/>
            </a:gs>
            <a:gs pos="100000">
              <a:srgbClr xmlns:mc="http://schemas.openxmlformats.org/markup-compatibility/2006" xmlns:a14="http://schemas.microsoft.com/office/drawing/2010/main" val="FFFFC0" mc:Ignorable="a14" a14:legacySpreadsheetColorIndex="26">
                <a:alpha val="0"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7777777777778"/>
          <c:y val="0.579520697167756"/>
          <c:w val="0.223703703703704"/>
          <c:h val="0.0849673202614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Year to Year Profit Improvement</a:t>
            </a:r>
          </a:p>
        </c:rich>
      </c:tx>
      <c:layout>
        <c:manualLayout>
          <c:xMode val="edge"/>
          <c:yMode val="edge"/>
          <c:x val="0.357037037037037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111111111"/>
          <c:y val="0.113289760348584"/>
          <c:w val="0.838518518518518"/>
          <c:h val="0.843137254901961"/>
        </c:manualLayout>
      </c:layout>
      <c:lineChart>
        <c:grouping val="standard"/>
        <c:varyColors val="0"/>
        <c:ser>
          <c:idx val="3"/>
          <c:order val="0"/>
          <c:tx>
            <c:v>Rolling 12 Month Profit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'Month S&amp;P'!$A$87:$A$319</c:f>
              <c:strCache>
                <c:ptCount val="228"/>
                <c:pt idx="0">
                  <c:v>Jan-95</c:v>
                </c:pt>
                <c:pt idx="1">
                  <c:v>Feb-95</c:v>
                </c:pt>
                <c:pt idx="2">
                  <c:v>Mar-95</c:v>
                </c:pt>
                <c:pt idx="3">
                  <c:v>Apr-95</c:v>
                </c:pt>
                <c:pt idx="4">
                  <c:v>May-95</c:v>
                </c:pt>
                <c:pt idx="5">
                  <c:v>Jun-95</c:v>
                </c:pt>
                <c:pt idx="6">
                  <c:v>Jul-95</c:v>
                </c:pt>
                <c:pt idx="7">
                  <c:v>Aug-95</c:v>
                </c:pt>
                <c:pt idx="8">
                  <c:v>Sep-95</c:v>
                </c:pt>
                <c:pt idx="9">
                  <c:v>Oct-95</c:v>
                </c:pt>
                <c:pt idx="10">
                  <c:v>Nov-95</c:v>
                </c:pt>
                <c:pt idx="11">
                  <c:v>Dec-95</c:v>
                </c:pt>
                <c:pt idx="12">
                  <c:v>Jan-96</c:v>
                </c:pt>
                <c:pt idx="13">
                  <c:v>Feb-96</c:v>
                </c:pt>
                <c:pt idx="14">
                  <c:v>Mar-96</c:v>
                </c:pt>
                <c:pt idx="15">
                  <c:v>Apr-96</c:v>
                </c:pt>
                <c:pt idx="16">
                  <c:v> </c:v>
                </c:pt>
                <c:pt idx="17">
                  <c:v>Jun-96</c:v>
                </c:pt>
                <c:pt idx="18">
                  <c:v>Jul-96</c:v>
                </c:pt>
                <c:pt idx="19">
                  <c:v>Aug-96</c:v>
                </c:pt>
                <c:pt idx="20">
                  <c:v>Sep-96</c:v>
                </c:pt>
                <c:pt idx="21">
                  <c:v>Oct-96</c:v>
                </c:pt>
                <c:pt idx="22">
                  <c:v>Nov-96</c:v>
                </c:pt>
                <c:pt idx="23">
                  <c:v>Dec-96</c:v>
                </c:pt>
                <c:pt idx="24">
                  <c:v>Jan-97</c:v>
                </c:pt>
                <c:pt idx="25">
                  <c:v>Feb-97</c:v>
                </c:pt>
                <c:pt idx="26">
                  <c:v>Mar-97</c:v>
                </c:pt>
                <c:pt idx="27">
                  <c:v>Apr-97</c:v>
                </c:pt>
                <c:pt idx="28">
                  <c:v>May-97</c:v>
                </c:pt>
                <c:pt idx="29">
                  <c:v>Jun-97</c:v>
                </c:pt>
                <c:pt idx="30">
                  <c:v>Jul-97</c:v>
                </c:pt>
                <c:pt idx="31">
                  <c:v>Aug-97</c:v>
                </c:pt>
                <c:pt idx="32">
                  <c:v>Sep-97</c:v>
                </c:pt>
                <c:pt idx="33">
                  <c:v>Oct-97</c:v>
                </c:pt>
                <c:pt idx="34">
                  <c:v>Nov-97</c:v>
                </c:pt>
                <c:pt idx="35">
                  <c:v>Dec-97</c:v>
                </c:pt>
                <c:pt idx="36">
                  <c:v>Jan-98</c:v>
                </c:pt>
                <c:pt idx="37">
                  <c:v>Feb-98</c:v>
                </c:pt>
                <c:pt idx="38">
                  <c:v>Mar-98</c:v>
                </c:pt>
                <c:pt idx="39">
                  <c:v>Apr-98</c:v>
                </c:pt>
                <c:pt idx="40">
                  <c:v>May-98</c:v>
                </c:pt>
                <c:pt idx="41">
                  <c:v>Jun-98</c:v>
                </c:pt>
                <c:pt idx="42">
                  <c:v>Jul-98</c:v>
                </c:pt>
                <c:pt idx="43">
                  <c:v>Aug-98</c:v>
                </c:pt>
                <c:pt idx="44">
                  <c:v>Sep-98</c:v>
                </c:pt>
                <c:pt idx="45">
                  <c:v>Oct-98</c:v>
                </c:pt>
                <c:pt idx="46">
                  <c:v>Nov-98</c:v>
                </c:pt>
                <c:pt idx="47">
                  <c:v>Dec-98</c:v>
                </c:pt>
                <c:pt idx="48">
                  <c:v>Jan-99</c:v>
                </c:pt>
                <c:pt idx="49">
                  <c:v>Feb-99</c:v>
                </c:pt>
                <c:pt idx="50">
                  <c:v>Mar-99</c:v>
                </c:pt>
                <c:pt idx="51">
                  <c:v>Apr-99</c:v>
                </c:pt>
                <c:pt idx="52">
                  <c:v>May-99</c:v>
                </c:pt>
                <c:pt idx="53">
                  <c:v>Jun-99</c:v>
                </c:pt>
                <c:pt idx="54">
                  <c:v>Jul-99</c:v>
                </c:pt>
                <c:pt idx="55">
                  <c:v>Aug-99</c:v>
                </c:pt>
                <c:pt idx="56">
                  <c:v>Sep-99</c:v>
                </c:pt>
                <c:pt idx="57">
                  <c:v>Oct-99</c:v>
                </c:pt>
                <c:pt idx="58">
                  <c:v>Nov-99</c:v>
                </c:pt>
                <c:pt idx="59">
                  <c:v>Dec-99</c:v>
                </c:pt>
                <c:pt idx="60">
                  <c:v>Jan-00</c:v>
                </c:pt>
                <c:pt idx="61">
                  <c:v>Feb-00</c:v>
                </c:pt>
                <c:pt idx="62">
                  <c:v>Mar-00</c:v>
                </c:pt>
                <c:pt idx="63">
                  <c:v>Apr-00</c:v>
                </c:pt>
                <c:pt idx="64">
                  <c:v>May-00</c:v>
                </c:pt>
                <c:pt idx="65">
                  <c:v>Jun-00</c:v>
                </c:pt>
                <c:pt idx="66">
                  <c:v>Jul-00</c:v>
                </c:pt>
                <c:pt idx="67">
                  <c:v>Aug-00</c:v>
                </c:pt>
                <c:pt idx="68">
                  <c:v>Sep-00</c:v>
                </c:pt>
                <c:pt idx="69">
                  <c:v>Oct-00</c:v>
                </c:pt>
                <c:pt idx="70">
                  <c:v>Nov-00</c:v>
                </c:pt>
                <c:pt idx="71">
                  <c:v>Dec-00</c:v>
                </c:pt>
                <c:pt idx="72">
                  <c:v>Jan-01</c:v>
                </c:pt>
                <c:pt idx="73">
                  <c:v>Feb-01</c:v>
                </c:pt>
                <c:pt idx="74">
                  <c:v>Mar-01</c:v>
                </c:pt>
                <c:pt idx="75">
                  <c:v>Apr-01</c:v>
                </c:pt>
                <c:pt idx="76">
                  <c:v>May-01</c:v>
                </c:pt>
                <c:pt idx="77">
                  <c:v>Jun-01</c:v>
                </c:pt>
                <c:pt idx="78">
                  <c:v>Jul-01</c:v>
                </c:pt>
                <c:pt idx="79">
                  <c:v>Aug-01</c:v>
                </c:pt>
                <c:pt idx="80">
                  <c:v>Sep-01</c:v>
                </c:pt>
                <c:pt idx="81">
                  <c:v>Oct-01</c:v>
                </c:pt>
                <c:pt idx="82">
                  <c:v>Nov-01</c:v>
                </c:pt>
                <c:pt idx="83">
                  <c:v>Dec-01</c:v>
                </c:pt>
                <c:pt idx="84">
                  <c:v>Jan-02</c:v>
                </c:pt>
                <c:pt idx="85">
                  <c:v>Feb-02</c:v>
                </c:pt>
                <c:pt idx="86">
                  <c:v>Mar-02</c:v>
                </c:pt>
                <c:pt idx="87">
                  <c:v>Apr-02</c:v>
                </c:pt>
                <c:pt idx="88">
                  <c:v>May-02</c:v>
                </c:pt>
                <c:pt idx="89">
                  <c:v>Jun-02</c:v>
                </c:pt>
                <c:pt idx="90">
                  <c:v>Jul-02</c:v>
                </c:pt>
                <c:pt idx="91">
                  <c:v>Aug-02</c:v>
                </c:pt>
                <c:pt idx="92">
                  <c:v>Sep-02</c:v>
                </c:pt>
                <c:pt idx="93">
                  <c:v>Oct-02</c:v>
                </c:pt>
                <c:pt idx="94">
                  <c:v>Nov-02</c:v>
                </c:pt>
                <c:pt idx="95">
                  <c:v>Dec-02</c:v>
                </c:pt>
                <c:pt idx="96">
                  <c:v>Jan-03</c:v>
                </c:pt>
                <c:pt idx="97">
                  <c:v>Feb-03</c:v>
                </c:pt>
                <c:pt idx="98">
                  <c:v>Mar-03</c:v>
                </c:pt>
                <c:pt idx="99">
                  <c:v>Apr-03</c:v>
                </c:pt>
                <c:pt idx="100">
                  <c:v>May-03</c:v>
                </c:pt>
                <c:pt idx="101">
                  <c:v>Jun-03</c:v>
                </c:pt>
                <c:pt idx="102">
                  <c:v>Jul-03</c:v>
                </c:pt>
                <c:pt idx="103">
                  <c:v>Aug-03</c:v>
                </c:pt>
                <c:pt idx="104">
                  <c:v>Sep-03</c:v>
                </c:pt>
                <c:pt idx="105">
                  <c:v>Oct-03</c:v>
                </c:pt>
                <c:pt idx="106">
                  <c:v>Nov-03</c:v>
                </c:pt>
                <c:pt idx="107">
                  <c:v>Dec-03</c:v>
                </c:pt>
                <c:pt idx="108">
                  <c:v>Jan-04</c:v>
                </c:pt>
                <c:pt idx="109">
                  <c:v>Feb-04</c:v>
                </c:pt>
                <c:pt idx="110">
                  <c:v>Mar-04</c:v>
                </c:pt>
                <c:pt idx="111">
                  <c:v>Apr-04</c:v>
                </c:pt>
                <c:pt idx="112">
                  <c:v>May-04</c:v>
                </c:pt>
                <c:pt idx="113">
                  <c:v>Jun-04</c:v>
                </c:pt>
                <c:pt idx="114">
                  <c:v>Jul-04</c:v>
                </c:pt>
                <c:pt idx="115">
                  <c:v>Aug-04</c:v>
                </c:pt>
                <c:pt idx="116">
                  <c:v>Sep-04</c:v>
                </c:pt>
                <c:pt idx="117">
                  <c:v>Oct-04</c:v>
                </c:pt>
                <c:pt idx="118">
                  <c:v>Nov-04</c:v>
                </c:pt>
                <c:pt idx="119">
                  <c:v>Dec-04</c:v>
                </c:pt>
                <c:pt idx="120">
                  <c:v>Jan-05</c:v>
                </c:pt>
                <c:pt idx="121">
                  <c:v>Feb-05</c:v>
                </c:pt>
                <c:pt idx="122">
                  <c:v>Mar-05</c:v>
                </c:pt>
                <c:pt idx="123">
                  <c:v>Apr-05</c:v>
                </c:pt>
                <c:pt idx="124">
                  <c:v>May-05</c:v>
                </c:pt>
                <c:pt idx="125">
                  <c:v>Jun-05</c:v>
                </c:pt>
                <c:pt idx="126">
                  <c:v>Jul-05</c:v>
                </c:pt>
                <c:pt idx="127">
                  <c:v>Aug-05</c:v>
                </c:pt>
                <c:pt idx="128">
                  <c:v>Sep-05</c:v>
                </c:pt>
                <c:pt idx="129">
                  <c:v>Oct-05</c:v>
                </c:pt>
                <c:pt idx="130">
                  <c:v>Nov-05</c:v>
                </c:pt>
                <c:pt idx="131">
                  <c:v>Dec-05</c:v>
                </c:pt>
                <c:pt idx="132">
                  <c:v>Jan-06</c:v>
                </c:pt>
                <c:pt idx="133">
                  <c:v>Feb-06</c:v>
                </c:pt>
                <c:pt idx="134">
                  <c:v>Mar-06</c:v>
                </c:pt>
                <c:pt idx="135">
                  <c:v>Apr-06</c:v>
                </c:pt>
                <c:pt idx="136">
                  <c:v>May-06</c:v>
                </c:pt>
                <c:pt idx="137">
                  <c:v>Jun-06</c:v>
                </c:pt>
                <c:pt idx="138">
                  <c:v>Jul-06</c:v>
                </c:pt>
                <c:pt idx="139">
                  <c:v>Aug-06</c:v>
                </c:pt>
                <c:pt idx="140">
                  <c:v>Sep-06</c:v>
                </c:pt>
                <c:pt idx="141">
                  <c:v>Oct-06</c:v>
                </c:pt>
                <c:pt idx="142">
                  <c:v>Nov-06</c:v>
                </c:pt>
                <c:pt idx="143">
                  <c:v>Dec-06</c:v>
                </c:pt>
                <c:pt idx="144">
                  <c:v>Jan-07</c:v>
                </c:pt>
                <c:pt idx="145">
                  <c:v>Feb-07</c:v>
                </c:pt>
                <c:pt idx="146">
                  <c:v>Mar-07</c:v>
                </c:pt>
                <c:pt idx="147">
                  <c:v>Apr-07</c:v>
                </c:pt>
                <c:pt idx="148">
                  <c:v>May-07</c:v>
                </c:pt>
                <c:pt idx="149">
                  <c:v>Jun-07</c:v>
                </c:pt>
                <c:pt idx="150">
                  <c:v>Jul-07</c:v>
                </c:pt>
                <c:pt idx="151">
                  <c:v>Aug-07</c:v>
                </c:pt>
                <c:pt idx="152">
                  <c:v>Sep-07</c:v>
                </c:pt>
                <c:pt idx="153">
                  <c:v>Oct-07</c:v>
                </c:pt>
                <c:pt idx="154">
                  <c:v>Nov-07</c:v>
                </c:pt>
                <c:pt idx="155">
                  <c:v>Dec-07</c:v>
                </c:pt>
                <c:pt idx="156">
                  <c:v>Jan-08</c:v>
                </c:pt>
                <c:pt idx="157">
                  <c:v>Feb-08</c:v>
                </c:pt>
                <c:pt idx="158">
                  <c:v>Mar-08</c:v>
                </c:pt>
                <c:pt idx="159">
                  <c:v>Apr-08</c:v>
                </c:pt>
                <c:pt idx="160">
                  <c:v>May-08</c:v>
                </c:pt>
                <c:pt idx="161">
                  <c:v>Jun-08</c:v>
                </c:pt>
                <c:pt idx="162">
                  <c:v>Jul-08</c:v>
                </c:pt>
                <c:pt idx="163">
                  <c:v>Aug-08</c:v>
                </c:pt>
                <c:pt idx="164">
                  <c:v>Sep-08</c:v>
                </c:pt>
                <c:pt idx="165">
                  <c:v>Oct-08</c:v>
                </c:pt>
                <c:pt idx="166">
                  <c:v>Nov-08</c:v>
                </c:pt>
                <c:pt idx="167">
                  <c:v>Dec-08</c:v>
                </c:pt>
                <c:pt idx="168">
                  <c:v>Jan-09</c:v>
                </c:pt>
                <c:pt idx="169">
                  <c:v>Feb-09</c:v>
                </c:pt>
                <c:pt idx="170">
                  <c:v>Mar-09</c:v>
                </c:pt>
                <c:pt idx="171">
                  <c:v>Apr-09</c:v>
                </c:pt>
                <c:pt idx="172">
                  <c:v>May-09</c:v>
                </c:pt>
                <c:pt idx="173">
                  <c:v>Jun-09</c:v>
                </c:pt>
                <c:pt idx="174">
                  <c:v>Jul-09</c:v>
                </c:pt>
                <c:pt idx="175">
                  <c:v>Aug-09</c:v>
                </c:pt>
                <c:pt idx="176">
                  <c:v>Sep-09</c:v>
                </c:pt>
                <c:pt idx="177">
                  <c:v>Oct-09</c:v>
                </c:pt>
                <c:pt idx="178">
                  <c:v>Nov-09</c:v>
                </c:pt>
                <c:pt idx="179">
                  <c:v>Dec-09</c:v>
                </c:pt>
                <c:pt idx="180">
                  <c:v>Jan-10</c:v>
                </c:pt>
                <c:pt idx="181">
                  <c:v>Feb-10</c:v>
                </c:pt>
                <c:pt idx="182">
                  <c:v>Mar-10</c:v>
                </c:pt>
                <c:pt idx="183">
                  <c:v>Apr-10</c:v>
                </c:pt>
                <c:pt idx="184">
                  <c:v>May-10</c:v>
                </c:pt>
                <c:pt idx="185">
                  <c:v>Jun-10</c:v>
                </c:pt>
                <c:pt idx="186">
                  <c:v>Jul-10</c:v>
                </c:pt>
                <c:pt idx="187">
                  <c:v>Aug-10</c:v>
                </c:pt>
                <c:pt idx="188">
                  <c:v>Sep-10</c:v>
                </c:pt>
                <c:pt idx="189">
                  <c:v>Oct-10</c:v>
                </c:pt>
                <c:pt idx="190">
                  <c:v>Nov-10</c:v>
                </c:pt>
                <c:pt idx="191">
                  <c:v>Dec-10</c:v>
                </c:pt>
                <c:pt idx="192">
                  <c:v>Jan-11</c:v>
                </c:pt>
                <c:pt idx="193">
                  <c:v>Feb-11</c:v>
                </c:pt>
                <c:pt idx="194">
                  <c:v>Mar-11</c:v>
                </c:pt>
                <c:pt idx="195">
                  <c:v>Apr-11</c:v>
                </c:pt>
                <c:pt idx="196">
                  <c:v>May-11</c:v>
                </c:pt>
                <c:pt idx="197">
                  <c:v>Jun-11</c:v>
                </c:pt>
                <c:pt idx="198">
                  <c:v>Jul-11</c:v>
                </c:pt>
                <c:pt idx="199">
                  <c:v>Aug-11</c:v>
                </c:pt>
                <c:pt idx="200">
                  <c:v>Sep-11</c:v>
                </c:pt>
                <c:pt idx="201">
                  <c:v>Oct-11</c:v>
                </c:pt>
                <c:pt idx="202">
                  <c:v>Nov-11</c:v>
                </c:pt>
                <c:pt idx="203">
                  <c:v>Dec-11</c:v>
                </c:pt>
                <c:pt idx="204">
                  <c:v>Jan-12</c:v>
                </c:pt>
                <c:pt idx="205">
                  <c:v>Feb-12</c:v>
                </c:pt>
                <c:pt idx="206">
                  <c:v>Mar-12</c:v>
                </c:pt>
                <c:pt idx="207">
                  <c:v>Apr-12</c:v>
                </c:pt>
                <c:pt idx="208">
                  <c:v>May-12</c:v>
                </c:pt>
                <c:pt idx="209">
                  <c:v>Jun-12</c:v>
                </c:pt>
                <c:pt idx="210">
                  <c:v>Jul-12</c:v>
                </c:pt>
                <c:pt idx="211">
                  <c:v>Aug-12</c:v>
                </c:pt>
                <c:pt idx="212">
                  <c:v>Sep-12</c:v>
                </c:pt>
                <c:pt idx="213">
                  <c:v>Oct-12</c:v>
                </c:pt>
                <c:pt idx="214">
                  <c:v>Nov-12</c:v>
                </c:pt>
                <c:pt idx="215">
                  <c:v>Dec-12</c:v>
                </c:pt>
                <c:pt idx="216">
                  <c:v>Jan-13</c:v>
                </c:pt>
                <c:pt idx="217">
                  <c:v>Feb-13</c:v>
                </c:pt>
                <c:pt idx="218">
                  <c:v>Mar-13</c:v>
                </c:pt>
                <c:pt idx="219">
                  <c:v>Apr-13</c:v>
                </c:pt>
                <c:pt idx="220">
                  <c:v>May-13</c:v>
                </c:pt>
                <c:pt idx="221">
                  <c:v>Jun-13</c:v>
                </c:pt>
                <c:pt idx="222">
                  <c:v>Jul-13</c:v>
                </c:pt>
                <c:pt idx="223">
                  <c:v>Aug-13</c:v>
                </c:pt>
                <c:pt idx="224">
                  <c:v>Sep-13</c:v>
                </c:pt>
                <c:pt idx="225">
                  <c:v>Oct-13</c:v>
                </c:pt>
                <c:pt idx="226">
                  <c:v>Nov-13</c:v>
                </c:pt>
                <c:pt idx="227">
                  <c:v>Dec-13</c:v>
                </c:pt>
              </c:strCache>
            </c:strRef>
          </c:cat>
          <c:val>
            <c:numRef>
              <c:f>'Month S&amp;P'!$H$87:$H$284</c:f>
              <c:numCache>
                <c:formatCode>#,##0_);[Red]\(#,##0\)</c:formatCode>
                <c:ptCount val="198"/>
                <c:pt idx="0">
                  <c:v>444840.266</c:v>
                </c:pt>
                <c:pt idx="1">
                  <c:v>538134.7659999999</c:v>
                </c:pt>
                <c:pt idx="2">
                  <c:v>407529.3009999999</c:v>
                </c:pt>
                <c:pt idx="3">
                  <c:v>212359.5374999999</c:v>
                </c:pt>
                <c:pt idx="4">
                  <c:v>248845.0814999999</c:v>
                </c:pt>
                <c:pt idx="5">
                  <c:v>-160601.8785</c:v>
                </c:pt>
                <c:pt idx="6">
                  <c:v>-117453.6510000001</c:v>
                </c:pt>
                <c:pt idx="7">
                  <c:v>33928.85700000002</c:v>
                </c:pt>
                <c:pt idx="8">
                  <c:v>-144676.097</c:v>
                </c:pt>
                <c:pt idx="9">
                  <c:v>-299114.6604999999</c:v>
                </c:pt>
                <c:pt idx="10">
                  <c:v>-338130.9890000001</c:v>
                </c:pt>
                <c:pt idx="11">
                  <c:v>-549099.1870000002</c:v>
                </c:pt>
                <c:pt idx="12">
                  <c:v>-427987.5750000001</c:v>
                </c:pt>
                <c:pt idx="13">
                  <c:v>-229674.153</c:v>
                </c:pt>
                <c:pt idx="14">
                  <c:v>-440329.6800000001</c:v>
                </c:pt>
                <c:pt idx="15">
                  <c:v>-223751.8765</c:v>
                </c:pt>
                <c:pt idx="16">
                  <c:v>73943.1695</c:v>
                </c:pt>
                <c:pt idx="17">
                  <c:v>117085.5244999999</c:v>
                </c:pt>
                <c:pt idx="18">
                  <c:v>-160338.428</c:v>
                </c:pt>
                <c:pt idx="19">
                  <c:v>-411071.311</c:v>
                </c:pt>
                <c:pt idx="20">
                  <c:v>-360238.917</c:v>
                </c:pt>
                <c:pt idx="21">
                  <c:v>-627594.0015</c:v>
                </c:pt>
                <c:pt idx="22">
                  <c:v>-708286.441</c:v>
                </c:pt>
                <c:pt idx="23">
                  <c:v>-319863.523</c:v>
                </c:pt>
                <c:pt idx="24">
                  <c:v>-79350.85400000003</c:v>
                </c:pt>
                <c:pt idx="25">
                  <c:v>-208091.625</c:v>
                </c:pt>
                <c:pt idx="26">
                  <c:v>30611.02700000002</c:v>
                </c:pt>
                <c:pt idx="27">
                  <c:v>-173725.546</c:v>
                </c:pt>
                <c:pt idx="28">
                  <c:v>-291753.5550000001</c:v>
                </c:pt>
                <c:pt idx="29">
                  <c:v>-418957.343</c:v>
                </c:pt>
                <c:pt idx="30">
                  <c:v>-162060.739</c:v>
                </c:pt>
                <c:pt idx="31">
                  <c:v>-173078.7399999999</c:v>
                </c:pt>
                <c:pt idx="32">
                  <c:v>-194233.2859999999</c:v>
                </c:pt>
                <c:pt idx="33">
                  <c:v>281367.855</c:v>
                </c:pt>
                <c:pt idx="34">
                  <c:v>155780.9730000001</c:v>
                </c:pt>
                <c:pt idx="35">
                  <c:v>36242.26300000002</c:v>
                </c:pt>
                <c:pt idx="36">
                  <c:v>41889.59600000004</c:v>
                </c:pt>
                <c:pt idx="37">
                  <c:v>-166656.2249999999</c:v>
                </c:pt>
                <c:pt idx="38">
                  <c:v>-313981.885</c:v>
                </c:pt>
                <c:pt idx="39">
                  <c:v>-130832.352</c:v>
                </c:pt>
                <c:pt idx="40">
                  <c:v>-423834.4629999999</c:v>
                </c:pt>
                <c:pt idx="41">
                  <c:v>-265273.75</c:v>
                </c:pt>
                <c:pt idx="42">
                  <c:v>-205728.629</c:v>
                </c:pt>
                <c:pt idx="43">
                  <c:v>-345912.253</c:v>
                </c:pt>
                <c:pt idx="44">
                  <c:v>-832874.147</c:v>
                </c:pt>
                <c:pt idx="45">
                  <c:v>-907438.64</c:v>
                </c:pt>
                <c:pt idx="46">
                  <c:v>-803437.99</c:v>
                </c:pt>
                <c:pt idx="47">
                  <c:v>-844960.0</c:v>
                </c:pt>
                <c:pt idx="48">
                  <c:v>-712908.0</c:v>
                </c:pt>
                <c:pt idx="49">
                  <c:v>-573052.0</c:v>
                </c:pt>
                <c:pt idx="50">
                  <c:v>-172497.0</c:v>
                </c:pt>
                <c:pt idx="51">
                  <c:v>-86026.0</c:v>
                </c:pt>
                <c:pt idx="52">
                  <c:v>306338.0</c:v>
                </c:pt>
                <c:pt idx="53">
                  <c:v>351707.0</c:v>
                </c:pt>
                <c:pt idx="54">
                  <c:v>568076.0</c:v>
                </c:pt>
                <c:pt idx="55">
                  <c:v>765468.0</c:v>
                </c:pt>
                <c:pt idx="56">
                  <c:v>1.349639E6</c:v>
                </c:pt>
                <c:pt idx="57">
                  <c:v>1.175647E6</c:v>
                </c:pt>
                <c:pt idx="58">
                  <c:v>1.140711E6</c:v>
                </c:pt>
                <c:pt idx="59">
                  <c:v>1.121905E6</c:v>
                </c:pt>
                <c:pt idx="60">
                  <c:v>994713.0</c:v>
                </c:pt>
                <c:pt idx="61">
                  <c:v>1.166706E6</c:v>
                </c:pt>
                <c:pt idx="62">
                  <c:v>1.190695E6</c:v>
                </c:pt>
                <c:pt idx="63">
                  <c:v>1.11292E6</c:v>
                </c:pt>
                <c:pt idx="64">
                  <c:v>1.421583E6</c:v>
                </c:pt>
                <c:pt idx="65">
                  <c:v>1.628156E6</c:v>
                </c:pt>
                <c:pt idx="66">
                  <c:v>1.589573E6</c:v>
                </c:pt>
                <c:pt idx="67">
                  <c:v>1.659849E6</c:v>
                </c:pt>
                <c:pt idx="68">
                  <c:v>1.744319E6</c:v>
                </c:pt>
                <c:pt idx="69">
                  <c:v>1.988398E6</c:v>
                </c:pt>
                <c:pt idx="70">
                  <c:v>1.823946E6</c:v>
                </c:pt>
                <c:pt idx="71">
                  <c:v>1.860698E6</c:v>
                </c:pt>
                <c:pt idx="72">
                  <c:v>1.837484E6</c:v>
                </c:pt>
                <c:pt idx="73">
                  <c:v>2.003081E6</c:v>
                </c:pt>
                <c:pt idx="74">
                  <c:v>1.980105E6</c:v>
                </c:pt>
                <c:pt idx="75">
                  <c:v>2.426976E6</c:v>
                </c:pt>
                <c:pt idx="76">
                  <c:v>2.37318E6</c:v>
                </c:pt>
                <c:pt idx="77">
                  <c:v>2.539883E6</c:v>
                </c:pt>
                <c:pt idx="78">
                  <c:v>2.421901E6</c:v>
                </c:pt>
                <c:pt idx="79">
                  <c:v>2.460099E6</c:v>
                </c:pt>
                <c:pt idx="80">
                  <c:v>2.324758E6</c:v>
                </c:pt>
                <c:pt idx="81">
                  <c:v>2.741003E6</c:v>
                </c:pt>
                <c:pt idx="82">
                  <c:v>2.845875E6</c:v>
                </c:pt>
                <c:pt idx="83">
                  <c:v>2.639717E6</c:v>
                </c:pt>
                <c:pt idx="84">
                  <c:v>2.505731E6</c:v>
                </c:pt>
                <c:pt idx="85">
                  <c:v>2.26158E6</c:v>
                </c:pt>
                <c:pt idx="86">
                  <c:v>2.53061E6</c:v>
                </c:pt>
                <c:pt idx="87">
                  <c:v>2.127039E6</c:v>
                </c:pt>
                <c:pt idx="88">
                  <c:v>2.131101E6</c:v>
                </c:pt>
                <c:pt idx="89">
                  <c:v>1.779468E6</c:v>
                </c:pt>
                <c:pt idx="90">
                  <c:v>1.521358E6</c:v>
                </c:pt>
                <c:pt idx="91">
                  <c:v>1.073965E6</c:v>
                </c:pt>
                <c:pt idx="92">
                  <c:v>964195.0</c:v>
                </c:pt>
                <c:pt idx="93">
                  <c:v>306151.0</c:v>
                </c:pt>
                <c:pt idx="94">
                  <c:v>420588.0</c:v>
                </c:pt>
                <c:pt idx="95">
                  <c:v>528302.0</c:v>
                </c:pt>
                <c:pt idx="96">
                  <c:v>420991.0</c:v>
                </c:pt>
                <c:pt idx="97">
                  <c:v>417198.0</c:v>
                </c:pt>
                <c:pt idx="98">
                  <c:v>-114099.0</c:v>
                </c:pt>
                <c:pt idx="99">
                  <c:v>85082.0</c:v>
                </c:pt>
                <c:pt idx="100">
                  <c:v>-147509.0</c:v>
                </c:pt>
                <c:pt idx="101">
                  <c:v>242623.0</c:v>
                </c:pt>
                <c:pt idx="102">
                  <c:v>476777.0</c:v>
                </c:pt>
                <c:pt idx="103">
                  <c:v>960667.0</c:v>
                </c:pt>
                <c:pt idx="104">
                  <c:v>1.184846E6</c:v>
                </c:pt>
                <c:pt idx="105">
                  <c:v>1.208607E6</c:v>
                </c:pt>
                <c:pt idx="106">
                  <c:v>1.160118E6</c:v>
                </c:pt>
                <c:pt idx="107">
                  <c:v>952096.0</c:v>
                </c:pt>
                <c:pt idx="108">
                  <c:v>1.076346E6</c:v>
                </c:pt>
                <c:pt idx="109">
                  <c:v>827575.0</c:v>
                </c:pt>
                <c:pt idx="110">
                  <c:v>1.159847E6</c:v>
                </c:pt>
                <c:pt idx="111">
                  <c:v>820468.0</c:v>
                </c:pt>
                <c:pt idx="112">
                  <c:v>523391.0</c:v>
                </c:pt>
                <c:pt idx="113">
                  <c:v>449949.0</c:v>
                </c:pt>
                <c:pt idx="114">
                  <c:v>76765.0</c:v>
                </c:pt>
                <c:pt idx="115">
                  <c:v>-281516.0</c:v>
                </c:pt>
                <c:pt idx="116">
                  <c:v>-270406.0</c:v>
                </c:pt>
                <c:pt idx="117">
                  <c:v>-47734.0</c:v>
                </c:pt>
                <c:pt idx="118">
                  <c:v>-314336.0</c:v>
                </c:pt>
                <c:pt idx="119">
                  <c:v>-253094.0</c:v>
                </c:pt>
                <c:pt idx="120">
                  <c:v>-490360.0</c:v>
                </c:pt>
                <c:pt idx="121">
                  <c:v>-537031.0</c:v>
                </c:pt>
                <c:pt idx="122">
                  <c:v>-427216.0</c:v>
                </c:pt>
                <c:pt idx="123">
                  <c:v>-139173.0</c:v>
                </c:pt>
                <c:pt idx="124">
                  <c:v>428586.0</c:v>
                </c:pt>
                <c:pt idx="125">
                  <c:v>241459.0</c:v>
                </c:pt>
                <c:pt idx="126">
                  <c:v>265137.0</c:v>
                </c:pt>
                <c:pt idx="127">
                  <c:v>435803.0</c:v>
                </c:pt>
                <c:pt idx="128">
                  <c:v>271077.0</c:v>
                </c:pt>
                <c:pt idx="129">
                  <c:v>-1735.0</c:v>
                </c:pt>
                <c:pt idx="130">
                  <c:v>68414.0</c:v>
                </c:pt>
                <c:pt idx="131">
                  <c:v>165702.0</c:v>
                </c:pt>
                <c:pt idx="132">
                  <c:v>386166.0</c:v>
                </c:pt>
                <c:pt idx="133">
                  <c:v>732712.0</c:v>
                </c:pt>
                <c:pt idx="134">
                  <c:v>297565.0</c:v>
                </c:pt>
                <c:pt idx="135">
                  <c:v>142841.0</c:v>
                </c:pt>
                <c:pt idx="136">
                  <c:v>-85499.0</c:v>
                </c:pt>
                <c:pt idx="137">
                  <c:v>-306146.0</c:v>
                </c:pt>
                <c:pt idx="138">
                  <c:v>-67402.0</c:v>
                </c:pt>
                <c:pt idx="139">
                  <c:v>-214124.0</c:v>
                </c:pt>
                <c:pt idx="140">
                  <c:v>-331286.0</c:v>
                </c:pt>
                <c:pt idx="141">
                  <c:v>-140259.0</c:v>
                </c:pt>
                <c:pt idx="142">
                  <c:v>166113.0</c:v>
                </c:pt>
                <c:pt idx="143">
                  <c:v>76404.0</c:v>
                </c:pt>
                <c:pt idx="144">
                  <c:v>-81794.0</c:v>
                </c:pt>
                <c:pt idx="145">
                  <c:v>-430170.0</c:v>
                </c:pt>
                <c:pt idx="146">
                  <c:v>-402762.0</c:v>
                </c:pt>
                <c:pt idx="147">
                  <c:v>-238229.0</c:v>
                </c:pt>
                <c:pt idx="148">
                  <c:v>-336775.0</c:v>
                </c:pt>
                <c:pt idx="149">
                  <c:v>438174.0</c:v>
                </c:pt>
                <c:pt idx="150">
                  <c:v>779119.0</c:v>
                </c:pt>
                <c:pt idx="151">
                  <c:v>996368.0</c:v>
                </c:pt>
                <c:pt idx="152">
                  <c:v>1.20785E6</c:v>
                </c:pt>
                <c:pt idx="153">
                  <c:v>1.456156E6</c:v>
                </c:pt>
                <c:pt idx="154">
                  <c:v>1.317685E6</c:v>
                </c:pt>
                <c:pt idx="155">
                  <c:v>1.471472E6</c:v>
                </c:pt>
                <c:pt idx="156">
                  <c:v>1.782095E6</c:v>
                </c:pt>
                <c:pt idx="157">
                  <c:v>2.211316E6</c:v>
                </c:pt>
                <c:pt idx="158">
                  <c:v>2.339306E6</c:v>
                </c:pt>
                <c:pt idx="159">
                  <c:v>2.741273E6</c:v>
                </c:pt>
                <c:pt idx="160">
                  <c:v>3.255362E6</c:v>
                </c:pt>
                <c:pt idx="161">
                  <c:v>3.233245E6</c:v>
                </c:pt>
                <c:pt idx="162">
                  <c:v>3.578902E6</c:v>
                </c:pt>
                <c:pt idx="163">
                  <c:v>3.897328E6</c:v>
                </c:pt>
                <c:pt idx="164">
                  <c:v>4.230237E6</c:v>
                </c:pt>
                <c:pt idx="165">
                  <c:v>4.516905E6</c:v>
                </c:pt>
                <c:pt idx="166">
                  <c:v>4.431174E6</c:v>
                </c:pt>
                <c:pt idx="167">
                  <c:v>4.367788E6</c:v>
                </c:pt>
                <c:pt idx="168">
                  <c:v>4.128578E6</c:v>
                </c:pt>
                <c:pt idx="169">
                  <c:v>4.064409E6</c:v>
                </c:pt>
                <c:pt idx="170">
                  <c:v>4.275277E6</c:v>
                </c:pt>
                <c:pt idx="171">
                  <c:v>3.772879E6</c:v>
                </c:pt>
                <c:pt idx="172">
                  <c:v>2.919647E6</c:v>
                </c:pt>
                <c:pt idx="173">
                  <c:v>2.338161E6</c:v>
                </c:pt>
                <c:pt idx="174">
                  <c:v>1.901864E6</c:v>
                </c:pt>
                <c:pt idx="175">
                  <c:v>1.902429E6</c:v>
                </c:pt>
                <c:pt idx="176">
                  <c:v>1.39888E6</c:v>
                </c:pt>
                <c:pt idx="177">
                  <c:v>659978.0</c:v>
                </c:pt>
                <c:pt idx="178">
                  <c:v>626595.0</c:v>
                </c:pt>
                <c:pt idx="179">
                  <c:v>545774.0</c:v>
                </c:pt>
                <c:pt idx="180">
                  <c:v>325446.0</c:v>
                </c:pt>
                <c:pt idx="181">
                  <c:v>-35128.0</c:v>
                </c:pt>
                <c:pt idx="182">
                  <c:v>-699465.0</c:v>
                </c:pt>
                <c:pt idx="183">
                  <c:v>-175345.0</c:v>
                </c:pt>
                <c:pt idx="184">
                  <c:v>643482.0</c:v>
                </c:pt>
                <c:pt idx="185">
                  <c:v>1.198064E6</c:v>
                </c:pt>
                <c:pt idx="186">
                  <c:v>1.160332E6</c:v>
                </c:pt>
                <c:pt idx="187">
                  <c:v>1.147587E6</c:v>
                </c:pt>
                <c:pt idx="188">
                  <c:v>1.409881E6</c:v>
                </c:pt>
                <c:pt idx="189">
                  <c:v>1.48613E6</c:v>
                </c:pt>
                <c:pt idx="190">
                  <c:v>1.597842E6</c:v>
                </c:pt>
                <c:pt idx="191">
                  <c:v>1.937153E6</c:v>
                </c:pt>
                <c:pt idx="192">
                  <c:v>2.274944E6</c:v>
                </c:pt>
                <c:pt idx="193">
                  <c:v>2.55133E6</c:v>
                </c:pt>
                <c:pt idx="194">
                  <c:v>2.992071E6</c:v>
                </c:pt>
                <c:pt idx="195">
                  <c:v>2.660153E6</c:v>
                </c:pt>
                <c:pt idx="196">
                  <c:v>2.620932E6</c:v>
                </c:pt>
                <c:pt idx="197">
                  <c:v>2.34668E6</c:v>
                </c:pt>
              </c:numCache>
            </c:numRef>
          </c:val>
          <c:smooth val="0"/>
        </c:ser>
        <c:ser>
          <c:idx val="4"/>
          <c:order val="1"/>
          <c:tx>
            <c:v>Prior 12 Month Profit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'Month S&amp;P'!$A$87:$A$319</c:f>
              <c:strCache>
                <c:ptCount val="228"/>
                <c:pt idx="0">
                  <c:v>Jan-95</c:v>
                </c:pt>
                <c:pt idx="1">
                  <c:v>Feb-95</c:v>
                </c:pt>
                <c:pt idx="2">
                  <c:v>Mar-95</c:v>
                </c:pt>
                <c:pt idx="3">
                  <c:v>Apr-95</c:v>
                </c:pt>
                <c:pt idx="4">
                  <c:v>May-95</c:v>
                </c:pt>
                <c:pt idx="5">
                  <c:v>Jun-95</c:v>
                </c:pt>
                <c:pt idx="6">
                  <c:v>Jul-95</c:v>
                </c:pt>
                <c:pt idx="7">
                  <c:v>Aug-95</c:v>
                </c:pt>
                <c:pt idx="8">
                  <c:v>Sep-95</c:v>
                </c:pt>
                <c:pt idx="9">
                  <c:v>Oct-95</c:v>
                </c:pt>
                <c:pt idx="10">
                  <c:v>Nov-95</c:v>
                </c:pt>
                <c:pt idx="11">
                  <c:v>Dec-95</c:v>
                </c:pt>
                <c:pt idx="12">
                  <c:v>Jan-96</c:v>
                </c:pt>
                <c:pt idx="13">
                  <c:v>Feb-96</c:v>
                </c:pt>
                <c:pt idx="14">
                  <c:v>Mar-96</c:v>
                </c:pt>
                <c:pt idx="15">
                  <c:v>Apr-96</c:v>
                </c:pt>
                <c:pt idx="16">
                  <c:v> </c:v>
                </c:pt>
                <c:pt idx="17">
                  <c:v>Jun-96</c:v>
                </c:pt>
                <c:pt idx="18">
                  <c:v>Jul-96</c:v>
                </c:pt>
                <c:pt idx="19">
                  <c:v>Aug-96</c:v>
                </c:pt>
                <c:pt idx="20">
                  <c:v>Sep-96</c:v>
                </c:pt>
                <c:pt idx="21">
                  <c:v>Oct-96</c:v>
                </c:pt>
                <c:pt idx="22">
                  <c:v>Nov-96</c:v>
                </c:pt>
                <c:pt idx="23">
                  <c:v>Dec-96</c:v>
                </c:pt>
                <c:pt idx="24">
                  <c:v>Jan-97</c:v>
                </c:pt>
                <c:pt idx="25">
                  <c:v>Feb-97</c:v>
                </c:pt>
                <c:pt idx="26">
                  <c:v>Mar-97</c:v>
                </c:pt>
                <c:pt idx="27">
                  <c:v>Apr-97</c:v>
                </c:pt>
                <c:pt idx="28">
                  <c:v>May-97</c:v>
                </c:pt>
                <c:pt idx="29">
                  <c:v>Jun-97</c:v>
                </c:pt>
                <c:pt idx="30">
                  <c:v>Jul-97</c:v>
                </c:pt>
                <c:pt idx="31">
                  <c:v>Aug-97</c:v>
                </c:pt>
                <c:pt idx="32">
                  <c:v>Sep-97</c:v>
                </c:pt>
                <c:pt idx="33">
                  <c:v>Oct-97</c:v>
                </c:pt>
                <c:pt idx="34">
                  <c:v>Nov-97</c:v>
                </c:pt>
                <c:pt idx="35">
                  <c:v>Dec-97</c:v>
                </c:pt>
                <c:pt idx="36">
                  <c:v>Jan-98</c:v>
                </c:pt>
                <c:pt idx="37">
                  <c:v>Feb-98</c:v>
                </c:pt>
                <c:pt idx="38">
                  <c:v>Mar-98</c:v>
                </c:pt>
                <c:pt idx="39">
                  <c:v>Apr-98</c:v>
                </c:pt>
                <c:pt idx="40">
                  <c:v>May-98</c:v>
                </c:pt>
                <c:pt idx="41">
                  <c:v>Jun-98</c:v>
                </c:pt>
                <c:pt idx="42">
                  <c:v>Jul-98</c:v>
                </c:pt>
                <c:pt idx="43">
                  <c:v>Aug-98</c:v>
                </c:pt>
                <c:pt idx="44">
                  <c:v>Sep-98</c:v>
                </c:pt>
                <c:pt idx="45">
                  <c:v>Oct-98</c:v>
                </c:pt>
                <c:pt idx="46">
                  <c:v>Nov-98</c:v>
                </c:pt>
                <c:pt idx="47">
                  <c:v>Dec-98</c:v>
                </c:pt>
                <c:pt idx="48">
                  <c:v>Jan-99</c:v>
                </c:pt>
                <c:pt idx="49">
                  <c:v>Feb-99</c:v>
                </c:pt>
                <c:pt idx="50">
                  <c:v>Mar-99</c:v>
                </c:pt>
                <c:pt idx="51">
                  <c:v>Apr-99</c:v>
                </c:pt>
                <c:pt idx="52">
                  <c:v>May-99</c:v>
                </c:pt>
                <c:pt idx="53">
                  <c:v>Jun-99</c:v>
                </c:pt>
                <c:pt idx="54">
                  <c:v>Jul-99</c:v>
                </c:pt>
                <c:pt idx="55">
                  <c:v>Aug-99</c:v>
                </c:pt>
                <c:pt idx="56">
                  <c:v>Sep-99</c:v>
                </c:pt>
                <c:pt idx="57">
                  <c:v>Oct-99</c:v>
                </c:pt>
                <c:pt idx="58">
                  <c:v>Nov-99</c:v>
                </c:pt>
                <c:pt idx="59">
                  <c:v>Dec-99</c:v>
                </c:pt>
                <c:pt idx="60">
                  <c:v>Jan-00</c:v>
                </c:pt>
                <c:pt idx="61">
                  <c:v>Feb-00</c:v>
                </c:pt>
                <c:pt idx="62">
                  <c:v>Mar-00</c:v>
                </c:pt>
                <c:pt idx="63">
                  <c:v>Apr-00</c:v>
                </c:pt>
                <c:pt idx="64">
                  <c:v>May-00</c:v>
                </c:pt>
                <c:pt idx="65">
                  <c:v>Jun-00</c:v>
                </c:pt>
                <c:pt idx="66">
                  <c:v>Jul-00</c:v>
                </c:pt>
                <c:pt idx="67">
                  <c:v>Aug-00</c:v>
                </c:pt>
                <c:pt idx="68">
                  <c:v>Sep-00</c:v>
                </c:pt>
                <c:pt idx="69">
                  <c:v>Oct-00</c:v>
                </c:pt>
                <c:pt idx="70">
                  <c:v>Nov-00</c:v>
                </c:pt>
                <c:pt idx="71">
                  <c:v>Dec-00</c:v>
                </c:pt>
                <c:pt idx="72">
                  <c:v>Jan-01</c:v>
                </c:pt>
                <c:pt idx="73">
                  <c:v>Feb-01</c:v>
                </c:pt>
                <c:pt idx="74">
                  <c:v>Mar-01</c:v>
                </c:pt>
                <c:pt idx="75">
                  <c:v>Apr-01</c:v>
                </c:pt>
                <c:pt idx="76">
                  <c:v>May-01</c:v>
                </c:pt>
                <c:pt idx="77">
                  <c:v>Jun-01</c:v>
                </c:pt>
                <c:pt idx="78">
                  <c:v>Jul-01</c:v>
                </c:pt>
                <c:pt idx="79">
                  <c:v>Aug-01</c:v>
                </c:pt>
                <c:pt idx="80">
                  <c:v>Sep-01</c:v>
                </c:pt>
                <c:pt idx="81">
                  <c:v>Oct-01</c:v>
                </c:pt>
                <c:pt idx="82">
                  <c:v>Nov-01</c:v>
                </c:pt>
                <c:pt idx="83">
                  <c:v>Dec-01</c:v>
                </c:pt>
                <c:pt idx="84">
                  <c:v>Jan-02</c:v>
                </c:pt>
                <c:pt idx="85">
                  <c:v>Feb-02</c:v>
                </c:pt>
                <c:pt idx="86">
                  <c:v>Mar-02</c:v>
                </c:pt>
                <c:pt idx="87">
                  <c:v>Apr-02</c:v>
                </c:pt>
                <c:pt idx="88">
                  <c:v>May-02</c:v>
                </c:pt>
                <c:pt idx="89">
                  <c:v>Jun-02</c:v>
                </c:pt>
                <c:pt idx="90">
                  <c:v>Jul-02</c:v>
                </c:pt>
                <c:pt idx="91">
                  <c:v>Aug-02</c:v>
                </c:pt>
                <c:pt idx="92">
                  <c:v>Sep-02</c:v>
                </c:pt>
                <c:pt idx="93">
                  <c:v>Oct-02</c:v>
                </c:pt>
                <c:pt idx="94">
                  <c:v>Nov-02</c:v>
                </c:pt>
                <c:pt idx="95">
                  <c:v>Dec-02</c:v>
                </c:pt>
                <c:pt idx="96">
                  <c:v>Jan-03</c:v>
                </c:pt>
                <c:pt idx="97">
                  <c:v>Feb-03</c:v>
                </c:pt>
                <c:pt idx="98">
                  <c:v>Mar-03</c:v>
                </c:pt>
                <c:pt idx="99">
                  <c:v>Apr-03</c:v>
                </c:pt>
                <c:pt idx="100">
                  <c:v>May-03</c:v>
                </c:pt>
                <c:pt idx="101">
                  <c:v>Jun-03</c:v>
                </c:pt>
                <c:pt idx="102">
                  <c:v>Jul-03</c:v>
                </c:pt>
                <c:pt idx="103">
                  <c:v>Aug-03</c:v>
                </c:pt>
                <c:pt idx="104">
                  <c:v>Sep-03</c:v>
                </c:pt>
                <c:pt idx="105">
                  <c:v>Oct-03</c:v>
                </c:pt>
                <c:pt idx="106">
                  <c:v>Nov-03</c:v>
                </c:pt>
                <c:pt idx="107">
                  <c:v>Dec-03</c:v>
                </c:pt>
                <c:pt idx="108">
                  <c:v>Jan-04</c:v>
                </c:pt>
                <c:pt idx="109">
                  <c:v>Feb-04</c:v>
                </c:pt>
                <c:pt idx="110">
                  <c:v>Mar-04</c:v>
                </c:pt>
                <c:pt idx="111">
                  <c:v>Apr-04</c:v>
                </c:pt>
                <c:pt idx="112">
                  <c:v>May-04</c:v>
                </c:pt>
                <c:pt idx="113">
                  <c:v>Jun-04</c:v>
                </c:pt>
                <c:pt idx="114">
                  <c:v>Jul-04</c:v>
                </c:pt>
                <c:pt idx="115">
                  <c:v>Aug-04</c:v>
                </c:pt>
                <c:pt idx="116">
                  <c:v>Sep-04</c:v>
                </c:pt>
                <c:pt idx="117">
                  <c:v>Oct-04</c:v>
                </c:pt>
                <c:pt idx="118">
                  <c:v>Nov-04</c:v>
                </c:pt>
                <c:pt idx="119">
                  <c:v>Dec-04</c:v>
                </c:pt>
                <c:pt idx="120">
                  <c:v>Jan-05</c:v>
                </c:pt>
                <c:pt idx="121">
                  <c:v>Feb-05</c:v>
                </c:pt>
                <c:pt idx="122">
                  <c:v>Mar-05</c:v>
                </c:pt>
                <c:pt idx="123">
                  <c:v>Apr-05</c:v>
                </c:pt>
                <c:pt idx="124">
                  <c:v>May-05</c:v>
                </c:pt>
                <c:pt idx="125">
                  <c:v>Jun-05</c:v>
                </c:pt>
                <c:pt idx="126">
                  <c:v>Jul-05</c:v>
                </c:pt>
                <c:pt idx="127">
                  <c:v>Aug-05</c:v>
                </c:pt>
                <c:pt idx="128">
                  <c:v>Sep-05</c:v>
                </c:pt>
                <c:pt idx="129">
                  <c:v>Oct-05</c:v>
                </c:pt>
                <c:pt idx="130">
                  <c:v>Nov-05</c:v>
                </c:pt>
                <c:pt idx="131">
                  <c:v>Dec-05</c:v>
                </c:pt>
                <c:pt idx="132">
                  <c:v>Jan-06</c:v>
                </c:pt>
                <c:pt idx="133">
                  <c:v>Feb-06</c:v>
                </c:pt>
                <c:pt idx="134">
                  <c:v>Mar-06</c:v>
                </c:pt>
                <c:pt idx="135">
                  <c:v>Apr-06</c:v>
                </c:pt>
                <c:pt idx="136">
                  <c:v>May-06</c:v>
                </c:pt>
                <c:pt idx="137">
                  <c:v>Jun-06</c:v>
                </c:pt>
                <c:pt idx="138">
                  <c:v>Jul-06</c:v>
                </c:pt>
                <c:pt idx="139">
                  <c:v>Aug-06</c:v>
                </c:pt>
                <c:pt idx="140">
                  <c:v>Sep-06</c:v>
                </c:pt>
                <c:pt idx="141">
                  <c:v>Oct-06</c:v>
                </c:pt>
                <c:pt idx="142">
                  <c:v>Nov-06</c:v>
                </c:pt>
                <c:pt idx="143">
                  <c:v>Dec-06</c:v>
                </c:pt>
                <c:pt idx="144">
                  <c:v>Jan-07</c:v>
                </c:pt>
                <c:pt idx="145">
                  <c:v>Feb-07</c:v>
                </c:pt>
                <c:pt idx="146">
                  <c:v>Mar-07</c:v>
                </c:pt>
                <c:pt idx="147">
                  <c:v>Apr-07</c:v>
                </c:pt>
                <c:pt idx="148">
                  <c:v>May-07</c:v>
                </c:pt>
                <c:pt idx="149">
                  <c:v>Jun-07</c:v>
                </c:pt>
                <c:pt idx="150">
                  <c:v>Jul-07</c:v>
                </c:pt>
                <c:pt idx="151">
                  <c:v>Aug-07</c:v>
                </c:pt>
                <c:pt idx="152">
                  <c:v>Sep-07</c:v>
                </c:pt>
                <c:pt idx="153">
                  <c:v>Oct-07</c:v>
                </c:pt>
                <c:pt idx="154">
                  <c:v>Nov-07</c:v>
                </c:pt>
                <c:pt idx="155">
                  <c:v>Dec-07</c:v>
                </c:pt>
                <c:pt idx="156">
                  <c:v>Jan-08</c:v>
                </c:pt>
                <c:pt idx="157">
                  <c:v>Feb-08</c:v>
                </c:pt>
                <c:pt idx="158">
                  <c:v>Mar-08</c:v>
                </c:pt>
                <c:pt idx="159">
                  <c:v>Apr-08</c:v>
                </c:pt>
                <c:pt idx="160">
                  <c:v>May-08</c:v>
                </c:pt>
                <c:pt idx="161">
                  <c:v>Jun-08</c:v>
                </c:pt>
                <c:pt idx="162">
                  <c:v>Jul-08</c:v>
                </c:pt>
                <c:pt idx="163">
                  <c:v>Aug-08</c:v>
                </c:pt>
                <c:pt idx="164">
                  <c:v>Sep-08</c:v>
                </c:pt>
                <c:pt idx="165">
                  <c:v>Oct-08</c:v>
                </c:pt>
                <c:pt idx="166">
                  <c:v>Nov-08</c:v>
                </c:pt>
                <c:pt idx="167">
                  <c:v>Dec-08</c:v>
                </c:pt>
                <c:pt idx="168">
                  <c:v>Jan-09</c:v>
                </c:pt>
                <c:pt idx="169">
                  <c:v>Feb-09</c:v>
                </c:pt>
                <c:pt idx="170">
                  <c:v>Mar-09</c:v>
                </c:pt>
                <c:pt idx="171">
                  <c:v>Apr-09</c:v>
                </c:pt>
                <c:pt idx="172">
                  <c:v>May-09</c:v>
                </c:pt>
                <c:pt idx="173">
                  <c:v>Jun-09</c:v>
                </c:pt>
                <c:pt idx="174">
                  <c:v>Jul-09</c:v>
                </c:pt>
                <c:pt idx="175">
                  <c:v>Aug-09</c:v>
                </c:pt>
                <c:pt idx="176">
                  <c:v>Sep-09</c:v>
                </c:pt>
                <c:pt idx="177">
                  <c:v>Oct-09</c:v>
                </c:pt>
                <c:pt idx="178">
                  <c:v>Nov-09</c:v>
                </c:pt>
                <c:pt idx="179">
                  <c:v>Dec-09</c:v>
                </c:pt>
                <c:pt idx="180">
                  <c:v>Jan-10</c:v>
                </c:pt>
                <c:pt idx="181">
                  <c:v>Feb-10</c:v>
                </c:pt>
                <c:pt idx="182">
                  <c:v>Mar-10</c:v>
                </c:pt>
                <c:pt idx="183">
                  <c:v>Apr-10</c:v>
                </c:pt>
                <c:pt idx="184">
                  <c:v>May-10</c:v>
                </c:pt>
                <c:pt idx="185">
                  <c:v>Jun-10</c:v>
                </c:pt>
                <c:pt idx="186">
                  <c:v>Jul-10</c:v>
                </c:pt>
                <c:pt idx="187">
                  <c:v>Aug-10</c:v>
                </c:pt>
                <c:pt idx="188">
                  <c:v>Sep-10</c:v>
                </c:pt>
                <c:pt idx="189">
                  <c:v>Oct-10</c:v>
                </c:pt>
                <c:pt idx="190">
                  <c:v>Nov-10</c:v>
                </c:pt>
                <c:pt idx="191">
                  <c:v>Dec-10</c:v>
                </c:pt>
                <c:pt idx="192">
                  <c:v>Jan-11</c:v>
                </c:pt>
                <c:pt idx="193">
                  <c:v>Feb-11</c:v>
                </c:pt>
                <c:pt idx="194">
                  <c:v>Mar-11</c:v>
                </c:pt>
                <c:pt idx="195">
                  <c:v>Apr-11</c:v>
                </c:pt>
                <c:pt idx="196">
                  <c:v>May-11</c:v>
                </c:pt>
                <c:pt idx="197">
                  <c:v>Jun-11</c:v>
                </c:pt>
                <c:pt idx="198">
                  <c:v>Jul-11</c:v>
                </c:pt>
                <c:pt idx="199">
                  <c:v>Aug-11</c:v>
                </c:pt>
                <c:pt idx="200">
                  <c:v>Sep-11</c:v>
                </c:pt>
                <c:pt idx="201">
                  <c:v>Oct-11</c:v>
                </c:pt>
                <c:pt idx="202">
                  <c:v>Nov-11</c:v>
                </c:pt>
                <c:pt idx="203">
                  <c:v>Dec-11</c:v>
                </c:pt>
                <c:pt idx="204">
                  <c:v>Jan-12</c:v>
                </c:pt>
                <c:pt idx="205">
                  <c:v>Feb-12</c:v>
                </c:pt>
                <c:pt idx="206">
                  <c:v>Mar-12</c:v>
                </c:pt>
                <c:pt idx="207">
                  <c:v>Apr-12</c:v>
                </c:pt>
                <c:pt idx="208">
                  <c:v>May-12</c:v>
                </c:pt>
                <c:pt idx="209">
                  <c:v>Jun-12</c:v>
                </c:pt>
                <c:pt idx="210">
                  <c:v>Jul-12</c:v>
                </c:pt>
                <c:pt idx="211">
                  <c:v>Aug-12</c:v>
                </c:pt>
                <c:pt idx="212">
                  <c:v>Sep-12</c:v>
                </c:pt>
                <c:pt idx="213">
                  <c:v>Oct-12</c:v>
                </c:pt>
                <c:pt idx="214">
                  <c:v>Nov-12</c:v>
                </c:pt>
                <c:pt idx="215">
                  <c:v>Dec-12</c:v>
                </c:pt>
                <c:pt idx="216">
                  <c:v>Jan-13</c:v>
                </c:pt>
                <c:pt idx="217">
                  <c:v>Feb-13</c:v>
                </c:pt>
                <c:pt idx="218">
                  <c:v>Mar-13</c:v>
                </c:pt>
                <c:pt idx="219">
                  <c:v>Apr-13</c:v>
                </c:pt>
                <c:pt idx="220">
                  <c:v>May-13</c:v>
                </c:pt>
                <c:pt idx="221">
                  <c:v>Jun-13</c:v>
                </c:pt>
                <c:pt idx="222">
                  <c:v>Jul-13</c:v>
                </c:pt>
                <c:pt idx="223">
                  <c:v>Aug-13</c:v>
                </c:pt>
                <c:pt idx="224">
                  <c:v>Sep-13</c:v>
                </c:pt>
                <c:pt idx="225">
                  <c:v>Oct-13</c:v>
                </c:pt>
                <c:pt idx="226">
                  <c:v>Nov-13</c:v>
                </c:pt>
                <c:pt idx="227">
                  <c:v>Dec-13</c:v>
                </c:pt>
              </c:strCache>
            </c:strRef>
          </c:cat>
          <c:val>
            <c:numRef>
              <c:f>'Month S&amp;P'!$I$87:$I$284</c:f>
              <c:numCache>
                <c:formatCode>#,##0_);[Red]\(#,##0\)</c:formatCode>
                <c:ptCount val="198"/>
                <c:pt idx="0">
                  <c:v>314358.1400000001</c:v>
                </c:pt>
                <c:pt idx="1">
                  <c:v>309016.8100000002</c:v>
                </c:pt>
                <c:pt idx="2">
                  <c:v>359362.8100000002</c:v>
                </c:pt>
                <c:pt idx="3">
                  <c:v>241908.8100000002</c:v>
                </c:pt>
                <c:pt idx="4">
                  <c:v>-60470.18999999994</c:v>
                </c:pt>
                <c:pt idx="5">
                  <c:v>94215.73000000004</c:v>
                </c:pt>
                <c:pt idx="6">
                  <c:v>29368.73000000004</c:v>
                </c:pt>
                <c:pt idx="7">
                  <c:v>137296.73</c:v>
                </c:pt>
                <c:pt idx="8">
                  <c:v>321402.32</c:v>
                </c:pt>
                <c:pt idx="9">
                  <c:v>373298.32</c:v>
                </c:pt>
                <c:pt idx="10">
                  <c:v>471479.19</c:v>
                </c:pt>
                <c:pt idx="11">
                  <c:v>451942.8800000001</c:v>
                </c:pt>
                <c:pt idx="12">
                  <c:v>444840.266</c:v>
                </c:pt>
                <c:pt idx="13">
                  <c:v>538134.7659999999</c:v>
                </c:pt>
                <c:pt idx="14">
                  <c:v>407529.3009999999</c:v>
                </c:pt>
                <c:pt idx="15">
                  <c:v>212359.5374999999</c:v>
                </c:pt>
                <c:pt idx="16">
                  <c:v>248845.0814999999</c:v>
                </c:pt>
                <c:pt idx="17">
                  <c:v>-160601.8785</c:v>
                </c:pt>
                <c:pt idx="18">
                  <c:v>-117453.6510000001</c:v>
                </c:pt>
                <c:pt idx="19">
                  <c:v>33928.85700000002</c:v>
                </c:pt>
                <c:pt idx="20">
                  <c:v>-144676.097</c:v>
                </c:pt>
                <c:pt idx="21">
                  <c:v>-299114.6604999999</c:v>
                </c:pt>
                <c:pt idx="22">
                  <c:v>-338130.9890000001</c:v>
                </c:pt>
                <c:pt idx="23">
                  <c:v>-549099.1870000002</c:v>
                </c:pt>
                <c:pt idx="24">
                  <c:v>-427987.5750000001</c:v>
                </c:pt>
                <c:pt idx="25">
                  <c:v>-229674.153</c:v>
                </c:pt>
                <c:pt idx="26">
                  <c:v>-440329.6800000001</c:v>
                </c:pt>
                <c:pt idx="27">
                  <c:v>-223751.8765</c:v>
                </c:pt>
                <c:pt idx="28">
                  <c:v>73943.1695</c:v>
                </c:pt>
                <c:pt idx="29">
                  <c:v>117085.5244999999</c:v>
                </c:pt>
                <c:pt idx="30">
                  <c:v>-160338.428</c:v>
                </c:pt>
                <c:pt idx="31">
                  <c:v>-411071.311</c:v>
                </c:pt>
                <c:pt idx="32">
                  <c:v>-360238.917</c:v>
                </c:pt>
                <c:pt idx="33">
                  <c:v>-627594.0015</c:v>
                </c:pt>
                <c:pt idx="34">
                  <c:v>-708286.441</c:v>
                </c:pt>
                <c:pt idx="35">
                  <c:v>-319863.523</c:v>
                </c:pt>
                <c:pt idx="36">
                  <c:v>-79350.85400000003</c:v>
                </c:pt>
                <c:pt idx="37">
                  <c:v>-208091.625</c:v>
                </c:pt>
                <c:pt idx="38">
                  <c:v>30611.02700000002</c:v>
                </c:pt>
                <c:pt idx="39">
                  <c:v>-173725.546</c:v>
                </c:pt>
                <c:pt idx="40">
                  <c:v>-291753.5550000001</c:v>
                </c:pt>
                <c:pt idx="41">
                  <c:v>-418957.343</c:v>
                </c:pt>
                <c:pt idx="42">
                  <c:v>-162060.739</c:v>
                </c:pt>
                <c:pt idx="43">
                  <c:v>-173078.7399999999</c:v>
                </c:pt>
                <c:pt idx="44">
                  <c:v>-194233.2859999999</c:v>
                </c:pt>
                <c:pt idx="45">
                  <c:v>281367.855</c:v>
                </c:pt>
                <c:pt idx="46">
                  <c:v>155780.9730000001</c:v>
                </c:pt>
                <c:pt idx="47">
                  <c:v>36242.26300000002</c:v>
                </c:pt>
                <c:pt idx="48">
                  <c:v>41889.59600000004</c:v>
                </c:pt>
                <c:pt idx="49">
                  <c:v>-166656.2249999999</c:v>
                </c:pt>
                <c:pt idx="50">
                  <c:v>-313981.885</c:v>
                </c:pt>
                <c:pt idx="51">
                  <c:v>-130832.352</c:v>
                </c:pt>
                <c:pt idx="52">
                  <c:v>-423834.4629999999</c:v>
                </c:pt>
                <c:pt idx="53">
                  <c:v>-265273.75</c:v>
                </c:pt>
                <c:pt idx="54">
                  <c:v>-205728.629</c:v>
                </c:pt>
                <c:pt idx="55">
                  <c:v>-345912.253</c:v>
                </c:pt>
                <c:pt idx="56">
                  <c:v>-832874.147</c:v>
                </c:pt>
                <c:pt idx="57">
                  <c:v>-907438.64</c:v>
                </c:pt>
                <c:pt idx="58">
                  <c:v>-803437.99</c:v>
                </c:pt>
                <c:pt idx="59">
                  <c:v>-844960.0</c:v>
                </c:pt>
                <c:pt idx="60">
                  <c:v>-712908.0</c:v>
                </c:pt>
                <c:pt idx="61">
                  <c:v>-573052.0</c:v>
                </c:pt>
                <c:pt idx="62">
                  <c:v>-172497.0</c:v>
                </c:pt>
                <c:pt idx="63">
                  <c:v>-86026.0</c:v>
                </c:pt>
                <c:pt idx="64">
                  <c:v>306338.0</c:v>
                </c:pt>
                <c:pt idx="65">
                  <c:v>351707.0</c:v>
                </c:pt>
                <c:pt idx="66">
                  <c:v>568076.0</c:v>
                </c:pt>
                <c:pt idx="67">
                  <c:v>765468.0</c:v>
                </c:pt>
                <c:pt idx="68">
                  <c:v>1.349639E6</c:v>
                </c:pt>
                <c:pt idx="69">
                  <c:v>1.175647E6</c:v>
                </c:pt>
                <c:pt idx="70">
                  <c:v>1.140711E6</c:v>
                </c:pt>
                <c:pt idx="71">
                  <c:v>1.121905E6</c:v>
                </c:pt>
                <c:pt idx="72">
                  <c:v>994713.0</c:v>
                </c:pt>
                <c:pt idx="73">
                  <c:v>1.166706E6</c:v>
                </c:pt>
                <c:pt idx="74">
                  <c:v>1.190695E6</c:v>
                </c:pt>
                <c:pt idx="75">
                  <c:v>1.11292E6</c:v>
                </c:pt>
                <c:pt idx="76">
                  <c:v>1.421583E6</c:v>
                </c:pt>
                <c:pt idx="77">
                  <c:v>1.628156E6</c:v>
                </c:pt>
                <c:pt idx="78">
                  <c:v>1.589573E6</c:v>
                </c:pt>
                <c:pt idx="79">
                  <c:v>1.659849E6</c:v>
                </c:pt>
                <c:pt idx="80">
                  <c:v>1.744319E6</c:v>
                </c:pt>
                <c:pt idx="81">
                  <c:v>1.988398E6</c:v>
                </c:pt>
                <c:pt idx="82">
                  <c:v>1.823946E6</c:v>
                </c:pt>
                <c:pt idx="83">
                  <c:v>1.860698E6</c:v>
                </c:pt>
                <c:pt idx="84">
                  <c:v>1.837484E6</c:v>
                </c:pt>
                <c:pt idx="85">
                  <c:v>2.003081E6</c:v>
                </c:pt>
                <c:pt idx="86">
                  <c:v>1.980105E6</c:v>
                </c:pt>
                <c:pt idx="87">
                  <c:v>2.426976E6</c:v>
                </c:pt>
                <c:pt idx="88">
                  <c:v>2.37318E6</c:v>
                </c:pt>
                <c:pt idx="89">
                  <c:v>2.539883E6</c:v>
                </c:pt>
                <c:pt idx="90">
                  <c:v>2.421901E6</c:v>
                </c:pt>
                <c:pt idx="91">
                  <c:v>2.460099E6</c:v>
                </c:pt>
                <c:pt idx="92">
                  <c:v>2.324758E6</c:v>
                </c:pt>
                <c:pt idx="93">
                  <c:v>2.741003E6</c:v>
                </c:pt>
                <c:pt idx="94">
                  <c:v>2.845875E6</c:v>
                </c:pt>
                <c:pt idx="95">
                  <c:v>2.639717E6</c:v>
                </c:pt>
                <c:pt idx="96">
                  <c:v>2.505731E6</c:v>
                </c:pt>
                <c:pt idx="97">
                  <c:v>2.26158E6</c:v>
                </c:pt>
                <c:pt idx="98">
                  <c:v>2.53061E6</c:v>
                </c:pt>
                <c:pt idx="99">
                  <c:v>2.127039E6</c:v>
                </c:pt>
                <c:pt idx="100">
                  <c:v>2.131101E6</c:v>
                </c:pt>
                <c:pt idx="101">
                  <c:v>1.779468E6</c:v>
                </c:pt>
                <c:pt idx="102">
                  <c:v>1.521358E6</c:v>
                </c:pt>
                <c:pt idx="103">
                  <c:v>1.073965E6</c:v>
                </c:pt>
                <c:pt idx="104">
                  <c:v>964195.0</c:v>
                </c:pt>
                <c:pt idx="105">
                  <c:v>306151.0</c:v>
                </c:pt>
                <c:pt idx="106">
                  <c:v>420588.0</c:v>
                </c:pt>
                <c:pt idx="107">
                  <c:v>528302.0</c:v>
                </c:pt>
                <c:pt idx="108">
                  <c:v>420991.0</c:v>
                </c:pt>
                <c:pt idx="109">
                  <c:v>417198.0</c:v>
                </c:pt>
                <c:pt idx="110">
                  <c:v>-114099.0</c:v>
                </c:pt>
                <c:pt idx="111">
                  <c:v>85082.0</c:v>
                </c:pt>
                <c:pt idx="112">
                  <c:v>-147509.0</c:v>
                </c:pt>
                <c:pt idx="113">
                  <c:v>242623.0</c:v>
                </c:pt>
                <c:pt idx="114">
                  <c:v>476777.0</c:v>
                </c:pt>
                <c:pt idx="115">
                  <c:v>960667.0</c:v>
                </c:pt>
                <c:pt idx="116">
                  <c:v>1.184846E6</c:v>
                </c:pt>
                <c:pt idx="117">
                  <c:v>1.208607E6</c:v>
                </c:pt>
                <c:pt idx="118">
                  <c:v>1.160118E6</c:v>
                </c:pt>
                <c:pt idx="119">
                  <c:v>952096.0</c:v>
                </c:pt>
                <c:pt idx="120">
                  <c:v>1.076346E6</c:v>
                </c:pt>
                <c:pt idx="121">
                  <c:v>827575.0</c:v>
                </c:pt>
                <c:pt idx="122">
                  <c:v>1.159847E6</c:v>
                </c:pt>
                <c:pt idx="123">
                  <c:v>820468.0</c:v>
                </c:pt>
                <c:pt idx="124">
                  <c:v>523391.0</c:v>
                </c:pt>
                <c:pt idx="125">
                  <c:v>449949.0</c:v>
                </c:pt>
                <c:pt idx="126">
                  <c:v>76765.0</c:v>
                </c:pt>
                <c:pt idx="127">
                  <c:v>-281516.0</c:v>
                </c:pt>
                <c:pt idx="128">
                  <c:v>-270406.0</c:v>
                </c:pt>
                <c:pt idx="129">
                  <c:v>-47734.0</c:v>
                </c:pt>
                <c:pt idx="130">
                  <c:v>-314336.0</c:v>
                </c:pt>
                <c:pt idx="131">
                  <c:v>-253094.0</c:v>
                </c:pt>
                <c:pt idx="132">
                  <c:v>-490360.0</c:v>
                </c:pt>
                <c:pt idx="133">
                  <c:v>-537031.0</c:v>
                </c:pt>
                <c:pt idx="134">
                  <c:v>-427216.0</c:v>
                </c:pt>
                <c:pt idx="135">
                  <c:v>-139173.0</c:v>
                </c:pt>
                <c:pt idx="136">
                  <c:v>428586.0</c:v>
                </c:pt>
                <c:pt idx="137">
                  <c:v>241459.0</c:v>
                </c:pt>
                <c:pt idx="138">
                  <c:v>265137.0</c:v>
                </c:pt>
                <c:pt idx="139">
                  <c:v>435803.0</c:v>
                </c:pt>
                <c:pt idx="140">
                  <c:v>271077.0</c:v>
                </c:pt>
                <c:pt idx="141">
                  <c:v>-1735.0</c:v>
                </c:pt>
                <c:pt idx="142">
                  <c:v>68414.0</c:v>
                </c:pt>
                <c:pt idx="143">
                  <c:v>165702.0</c:v>
                </c:pt>
                <c:pt idx="144">
                  <c:v>386166.0</c:v>
                </c:pt>
                <c:pt idx="145">
                  <c:v>732712.0</c:v>
                </c:pt>
                <c:pt idx="146">
                  <c:v>297565.0</c:v>
                </c:pt>
                <c:pt idx="147">
                  <c:v>142841.0</c:v>
                </c:pt>
                <c:pt idx="148">
                  <c:v>-85499.0</c:v>
                </c:pt>
                <c:pt idx="149">
                  <c:v>-306146.0</c:v>
                </c:pt>
                <c:pt idx="150">
                  <c:v>-67402.0</c:v>
                </c:pt>
                <c:pt idx="151">
                  <c:v>-214124.0</c:v>
                </c:pt>
                <c:pt idx="152">
                  <c:v>-331286.0</c:v>
                </c:pt>
                <c:pt idx="153">
                  <c:v>-140259.0</c:v>
                </c:pt>
                <c:pt idx="154">
                  <c:v>166113.0</c:v>
                </c:pt>
                <c:pt idx="155">
                  <c:v>76404.0</c:v>
                </c:pt>
                <c:pt idx="156">
                  <c:v>-81794.0</c:v>
                </c:pt>
                <c:pt idx="157">
                  <c:v>-430170.0</c:v>
                </c:pt>
                <c:pt idx="158">
                  <c:v>-402762.0</c:v>
                </c:pt>
                <c:pt idx="159">
                  <c:v>-238229.0</c:v>
                </c:pt>
                <c:pt idx="160">
                  <c:v>-336775.0</c:v>
                </c:pt>
                <c:pt idx="161">
                  <c:v>438174.0</c:v>
                </c:pt>
                <c:pt idx="162">
                  <c:v>779119.0</c:v>
                </c:pt>
                <c:pt idx="163">
                  <c:v>996368.0</c:v>
                </c:pt>
                <c:pt idx="164">
                  <c:v>1.20785E6</c:v>
                </c:pt>
                <c:pt idx="165">
                  <c:v>1.456156E6</c:v>
                </c:pt>
                <c:pt idx="166">
                  <c:v>1.317685E6</c:v>
                </c:pt>
                <c:pt idx="167">
                  <c:v>1.471472E6</c:v>
                </c:pt>
                <c:pt idx="168">
                  <c:v>1.782095E6</c:v>
                </c:pt>
                <c:pt idx="169">
                  <c:v>2.211316E6</c:v>
                </c:pt>
                <c:pt idx="170">
                  <c:v>2.339306E6</c:v>
                </c:pt>
                <c:pt idx="171">
                  <c:v>2.741273E6</c:v>
                </c:pt>
                <c:pt idx="172">
                  <c:v>3.255362E6</c:v>
                </c:pt>
                <c:pt idx="173">
                  <c:v>3.233245E6</c:v>
                </c:pt>
                <c:pt idx="174">
                  <c:v>3.578902E6</c:v>
                </c:pt>
                <c:pt idx="175">
                  <c:v>3.897328E6</c:v>
                </c:pt>
                <c:pt idx="176">
                  <c:v>4.230237E6</c:v>
                </c:pt>
                <c:pt idx="177">
                  <c:v>4.516905E6</c:v>
                </c:pt>
                <c:pt idx="178">
                  <c:v>4.431174E6</c:v>
                </c:pt>
                <c:pt idx="179">
                  <c:v>4.367788E6</c:v>
                </c:pt>
                <c:pt idx="180">
                  <c:v>4.128578E6</c:v>
                </c:pt>
                <c:pt idx="181">
                  <c:v>4.064409E6</c:v>
                </c:pt>
                <c:pt idx="182">
                  <c:v>4.275277E6</c:v>
                </c:pt>
                <c:pt idx="183">
                  <c:v>3.772879E6</c:v>
                </c:pt>
                <c:pt idx="184">
                  <c:v>2.919647E6</c:v>
                </c:pt>
                <c:pt idx="185">
                  <c:v>2.338161E6</c:v>
                </c:pt>
                <c:pt idx="186">
                  <c:v>1.901864E6</c:v>
                </c:pt>
                <c:pt idx="187">
                  <c:v>1.902429E6</c:v>
                </c:pt>
                <c:pt idx="188">
                  <c:v>1.39888E6</c:v>
                </c:pt>
                <c:pt idx="189">
                  <c:v>659978.0</c:v>
                </c:pt>
                <c:pt idx="190">
                  <c:v>626595.0</c:v>
                </c:pt>
                <c:pt idx="191">
                  <c:v>545774.0</c:v>
                </c:pt>
                <c:pt idx="192">
                  <c:v>325446.0</c:v>
                </c:pt>
                <c:pt idx="193">
                  <c:v>-35128.0</c:v>
                </c:pt>
                <c:pt idx="194">
                  <c:v>-699465.0</c:v>
                </c:pt>
                <c:pt idx="195">
                  <c:v>-175345.0</c:v>
                </c:pt>
                <c:pt idx="196">
                  <c:v>643482.0</c:v>
                </c:pt>
                <c:pt idx="197">
                  <c:v>1.198064E6</c:v>
                </c:pt>
              </c:numCache>
            </c:numRef>
          </c:val>
          <c:smooth val="0"/>
        </c:ser>
        <c:ser>
          <c:idx val="5"/>
          <c:order val="2"/>
          <c:tx>
            <c:v>Year to Year Improvement</c:v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'Month S&amp;P'!$A$87:$A$280</c:f>
              <c:strCache>
                <c:ptCount val="194"/>
                <c:pt idx="0">
                  <c:v>Jan-95</c:v>
                </c:pt>
                <c:pt idx="1">
                  <c:v>Feb-95</c:v>
                </c:pt>
                <c:pt idx="2">
                  <c:v>Mar-95</c:v>
                </c:pt>
                <c:pt idx="3">
                  <c:v>Apr-95</c:v>
                </c:pt>
                <c:pt idx="4">
                  <c:v>May-95</c:v>
                </c:pt>
                <c:pt idx="5">
                  <c:v>Jun-95</c:v>
                </c:pt>
                <c:pt idx="6">
                  <c:v>Jul-95</c:v>
                </c:pt>
                <c:pt idx="7">
                  <c:v>Aug-95</c:v>
                </c:pt>
                <c:pt idx="8">
                  <c:v>Sep-95</c:v>
                </c:pt>
                <c:pt idx="9">
                  <c:v>Oct-95</c:v>
                </c:pt>
                <c:pt idx="10">
                  <c:v>Nov-95</c:v>
                </c:pt>
                <c:pt idx="11">
                  <c:v>Dec-95</c:v>
                </c:pt>
                <c:pt idx="12">
                  <c:v>Jan-96</c:v>
                </c:pt>
                <c:pt idx="13">
                  <c:v>Feb-96</c:v>
                </c:pt>
                <c:pt idx="14">
                  <c:v>Mar-96</c:v>
                </c:pt>
                <c:pt idx="15">
                  <c:v>Apr-96</c:v>
                </c:pt>
                <c:pt idx="16">
                  <c:v> </c:v>
                </c:pt>
                <c:pt idx="17">
                  <c:v>Jun-96</c:v>
                </c:pt>
                <c:pt idx="18">
                  <c:v>Jul-96</c:v>
                </c:pt>
                <c:pt idx="19">
                  <c:v>Aug-96</c:v>
                </c:pt>
                <c:pt idx="20">
                  <c:v>Sep-96</c:v>
                </c:pt>
                <c:pt idx="21">
                  <c:v>Oct-96</c:v>
                </c:pt>
                <c:pt idx="22">
                  <c:v>Nov-96</c:v>
                </c:pt>
                <c:pt idx="23">
                  <c:v>Dec-96</c:v>
                </c:pt>
                <c:pt idx="24">
                  <c:v>Jan-97</c:v>
                </c:pt>
                <c:pt idx="25">
                  <c:v>Feb-97</c:v>
                </c:pt>
                <c:pt idx="26">
                  <c:v>Mar-97</c:v>
                </c:pt>
                <c:pt idx="27">
                  <c:v>Apr-97</c:v>
                </c:pt>
                <c:pt idx="28">
                  <c:v>May-97</c:v>
                </c:pt>
                <c:pt idx="29">
                  <c:v>Jun-97</c:v>
                </c:pt>
                <c:pt idx="30">
                  <c:v>Jul-97</c:v>
                </c:pt>
                <c:pt idx="31">
                  <c:v>Aug-97</c:v>
                </c:pt>
                <c:pt idx="32">
                  <c:v>Sep-97</c:v>
                </c:pt>
                <c:pt idx="33">
                  <c:v>Oct-97</c:v>
                </c:pt>
                <c:pt idx="34">
                  <c:v>Nov-97</c:v>
                </c:pt>
                <c:pt idx="35">
                  <c:v>Dec-97</c:v>
                </c:pt>
                <c:pt idx="36">
                  <c:v>Jan-98</c:v>
                </c:pt>
                <c:pt idx="37">
                  <c:v>Feb-98</c:v>
                </c:pt>
                <c:pt idx="38">
                  <c:v>Mar-98</c:v>
                </c:pt>
                <c:pt idx="39">
                  <c:v>Apr-98</c:v>
                </c:pt>
                <c:pt idx="40">
                  <c:v>May-98</c:v>
                </c:pt>
                <c:pt idx="41">
                  <c:v>Jun-98</c:v>
                </c:pt>
                <c:pt idx="42">
                  <c:v>Jul-98</c:v>
                </c:pt>
                <c:pt idx="43">
                  <c:v>Aug-98</c:v>
                </c:pt>
                <c:pt idx="44">
                  <c:v>Sep-98</c:v>
                </c:pt>
                <c:pt idx="45">
                  <c:v>Oct-98</c:v>
                </c:pt>
                <c:pt idx="46">
                  <c:v>Nov-98</c:v>
                </c:pt>
                <c:pt idx="47">
                  <c:v>Dec-98</c:v>
                </c:pt>
                <c:pt idx="48">
                  <c:v>Jan-99</c:v>
                </c:pt>
                <c:pt idx="49">
                  <c:v>Feb-99</c:v>
                </c:pt>
                <c:pt idx="50">
                  <c:v>Mar-99</c:v>
                </c:pt>
                <c:pt idx="51">
                  <c:v>Apr-99</c:v>
                </c:pt>
                <c:pt idx="52">
                  <c:v>May-99</c:v>
                </c:pt>
                <c:pt idx="53">
                  <c:v>Jun-99</c:v>
                </c:pt>
                <c:pt idx="54">
                  <c:v>Jul-99</c:v>
                </c:pt>
                <c:pt idx="55">
                  <c:v>Aug-99</c:v>
                </c:pt>
                <c:pt idx="56">
                  <c:v>Sep-99</c:v>
                </c:pt>
                <c:pt idx="57">
                  <c:v>Oct-99</c:v>
                </c:pt>
                <c:pt idx="58">
                  <c:v>Nov-99</c:v>
                </c:pt>
                <c:pt idx="59">
                  <c:v>Dec-99</c:v>
                </c:pt>
                <c:pt idx="60">
                  <c:v>Jan-00</c:v>
                </c:pt>
                <c:pt idx="61">
                  <c:v>Feb-00</c:v>
                </c:pt>
                <c:pt idx="62">
                  <c:v>Mar-00</c:v>
                </c:pt>
                <c:pt idx="63">
                  <c:v>Apr-00</c:v>
                </c:pt>
                <c:pt idx="64">
                  <c:v>May-00</c:v>
                </c:pt>
                <c:pt idx="65">
                  <c:v>Jun-00</c:v>
                </c:pt>
                <c:pt idx="66">
                  <c:v>Jul-00</c:v>
                </c:pt>
                <c:pt idx="67">
                  <c:v>Aug-00</c:v>
                </c:pt>
                <c:pt idx="68">
                  <c:v>Sep-00</c:v>
                </c:pt>
                <c:pt idx="69">
                  <c:v>Oct-00</c:v>
                </c:pt>
                <c:pt idx="70">
                  <c:v>Nov-00</c:v>
                </c:pt>
                <c:pt idx="71">
                  <c:v>Dec-00</c:v>
                </c:pt>
                <c:pt idx="72">
                  <c:v>Jan-01</c:v>
                </c:pt>
                <c:pt idx="73">
                  <c:v>Feb-01</c:v>
                </c:pt>
                <c:pt idx="74">
                  <c:v>Mar-01</c:v>
                </c:pt>
                <c:pt idx="75">
                  <c:v>Apr-01</c:v>
                </c:pt>
                <c:pt idx="76">
                  <c:v>May-01</c:v>
                </c:pt>
                <c:pt idx="77">
                  <c:v>Jun-01</c:v>
                </c:pt>
                <c:pt idx="78">
                  <c:v>Jul-01</c:v>
                </c:pt>
                <c:pt idx="79">
                  <c:v>Aug-01</c:v>
                </c:pt>
                <c:pt idx="80">
                  <c:v>Sep-01</c:v>
                </c:pt>
                <c:pt idx="81">
                  <c:v>Oct-01</c:v>
                </c:pt>
                <c:pt idx="82">
                  <c:v>Nov-01</c:v>
                </c:pt>
                <c:pt idx="83">
                  <c:v>Dec-01</c:v>
                </c:pt>
                <c:pt idx="84">
                  <c:v>Jan-02</c:v>
                </c:pt>
                <c:pt idx="85">
                  <c:v>Feb-02</c:v>
                </c:pt>
                <c:pt idx="86">
                  <c:v>Mar-02</c:v>
                </c:pt>
                <c:pt idx="87">
                  <c:v>Apr-02</c:v>
                </c:pt>
                <c:pt idx="88">
                  <c:v>May-02</c:v>
                </c:pt>
                <c:pt idx="89">
                  <c:v>Jun-02</c:v>
                </c:pt>
                <c:pt idx="90">
                  <c:v>Jul-02</c:v>
                </c:pt>
                <c:pt idx="91">
                  <c:v>Aug-02</c:v>
                </c:pt>
                <c:pt idx="92">
                  <c:v>Sep-02</c:v>
                </c:pt>
                <c:pt idx="93">
                  <c:v>Oct-02</c:v>
                </c:pt>
                <c:pt idx="94">
                  <c:v>Nov-02</c:v>
                </c:pt>
                <c:pt idx="95">
                  <c:v>Dec-02</c:v>
                </c:pt>
                <c:pt idx="96">
                  <c:v>Jan-03</c:v>
                </c:pt>
                <c:pt idx="97">
                  <c:v>Feb-03</c:v>
                </c:pt>
                <c:pt idx="98">
                  <c:v>Mar-03</c:v>
                </c:pt>
                <c:pt idx="99">
                  <c:v>Apr-03</c:v>
                </c:pt>
                <c:pt idx="100">
                  <c:v>May-03</c:v>
                </c:pt>
                <c:pt idx="101">
                  <c:v>Jun-03</c:v>
                </c:pt>
                <c:pt idx="102">
                  <c:v>Jul-03</c:v>
                </c:pt>
                <c:pt idx="103">
                  <c:v>Aug-03</c:v>
                </c:pt>
                <c:pt idx="104">
                  <c:v>Sep-03</c:v>
                </c:pt>
                <c:pt idx="105">
                  <c:v>Oct-03</c:v>
                </c:pt>
                <c:pt idx="106">
                  <c:v>Nov-03</c:v>
                </c:pt>
                <c:pt idx="107">
                  <c:v>Dec-03</c:v>
                </c:pt>
                <c:pt idx="108">
                  <c:v>Jan-04</c:v>
                </c:pt>
                <c:pt idx="109">
                  <c:v>Feb-04</c:v>
                </c:pt>
                <c:pt idx="110">
                  <c:v>Mar-04</c:v>
                </c:pt>
                <c:pt idx="111">
                  <c:v>Apr-04</c:v>
                </c:pt>
                <c:pt idx="112">
                  <c:v>May-04</c:v>
                </c:pt>
                <c:pt idx="113">
                  <c:v>Jun-04</c:v>
                </c:pt>
                <c:pt idx="114">
                  <c:v>Jul-04</c:v>
                </c:pt>
                <c:pt idx="115">
                  <c:v>Aug-04</c:v>
                </c:pt>
                <c:pt idx="116">
                  <c:v>Sep-04</c:v>
                </c:pt>
                <c:pt idx="117">
                  <c:v>Oct-04</c:v>
                </c:pt>
                <c:pt idx="118">
                  <c:v>Nov-04</c:v>
                </c:pt>
                <c:pt idx="119">
                  <c:v>Dec-04</c:v>
                </c:pt>
                <c:pt idx="120">
                  <c:v>Jan-05</c:v>
                </c:pt>
                <c:pt idx="121">
                  <c:v>Feb-05</c:v>
                </c:pt>
                <c:pt idx="122">
                  <c:v>Mar-05</c:v>
                </c:pt>
                <c:pt idx="123">
                  <c:v>Apr-05</c:v>
                </c:pt>
                <c:pt idx="124">
                  <c:v>May-05</c:v>
                </c:pt>
                <c:pt idx="125">
                  <c:v>Jun-05</c:v>
                </c:pt>
                <c:pt idx="126">
                  <c:v>Jul-05</c:v>
                </c:pt>
                <c:pt idx="127">
                  <c:v>Aug-05</c:v>
                </c:pt>
                <c:pt idx="128">
                  <c:v>Sep-05</c:v>
                </c:pt>
                <c:pt idx="129">
                  <c:v>Oct-05</c:v>
                </c:pt>
                <c:pt idx="130">
                  <c:v>Nov-05</c:v>
                </c:pt>
                <c:pt idx="131">
                  <c:v>Dec-05</c:v>
                </c:pt>
                <c:pt idx="132">
                  <c:v>Jan-06</c:v>
                </c:pt>
                <c:pt idx="133">
                  <c:v>Feb-06</c:v>
                </c:pt>
                <c:pt idx="134">
                  <c:v>Mar-06</c:v>
                </c:pt>
                <c:pt idx="135">
                  <c:v>Apr-06</c:v>
                </c:pt>
                <c:pt idx="136">
                  <c:v>May-06</c:v>
                </c:pt>
                <c:pt idx="137">
                  <c:v>Jun-06</c:v>
                </c:pt>
                <c:pt idx="138">
                  <c:v>Jul-06</c:v>
                </c:pt>
                <c:pt idx="139">
                  <c:v>Aug-06</c:v>
                </c:pt>
                <c:pt idx="140">
                  <c:v>Sep-06</c:v>
                </c:pt>
                <c:pt idx="141">
                  <c:v>Oct-06</c:v>
                </c:pt>
                <c:pt idx="142">
                  <c:v>Nov-06</c:v>
                </c:pt>
                <c:pt idx="143">
                  <c:v>Dec-06</c:v>
                </c:pt>
                <c:pt idx="144">
                  <c:v>Jan-07</c:v>
                </c:pt>
                <c:pt idx="145">
                  <c:v>Feb-07</c:v>
                </c:pt>
                <c:pt idx="146">
                  <c:v>Mar-07</c:v>
                </c:pt>
                <c:pt idx="147">
                  <c:v>Apr-07</c:v>
                </c:pt>
                <c:pt idx="148">
                  <c:v>May-07</c:v>
                </c:pt>
                <c:pt idx="149">
                  <c:v>Jun-07</c:v>
                </c:pt>
                <c:pt idx="150">
                  <c:v>Jul-07</c:v>
                </c:pt>
                <c:pt idx="151">
                  <c:v>Aug-07</c:v>
                </c:pt>
                <c:pt idx="152">
                  <c:v>Sep-07</c:v>
                </c:pt>
                <c:pt idx="153">
                  <c:v>Oct-07</c:v>
                </c:pt>
                <c:pt idx="154">
                  <c:v>Nov-07</c:v>
                </c:pt>
                <c:pt idx="155">
                  <c:v>Dec-07</c:v>
                </c:pt>
                <c:pt idx="156">
                  <c:v>Jan-08</c:v>
                </c:pt>
                <c:pt idx="157">
                  <c:v>Feb-08</c:v>
                </c:pt>
                <c:pt idx="158">
                  <c:v>Mar-08</c:v>
                </c:pt>
                <c:pt idx="159">
                  <c:v>Apr-08</c:v>
                </c:pt>
                <c:pt idx="160">
                  <c:v>May-08</c:v>
                </c:pt>
                <c:pt idx="161">
                  <c:v>Jun-08</c:v>
                </c:pt>
                <c:pt idx="162">
                  <c:v>Jul-08</c:v>
                </c:pt>
                <c:pt idx="163">
                  <c:v>Aug-08</c:v>
                </c:pt>
                <c:pt idx="164">
                  <c:v>Sep-08</c:v>
                </c:pt>
                <c:pt idx="165">
                  <c:v>Oct-08</c:v>
                </c:pt>
                <c:pt idx="166">
                  <c:v>Nov-08</c:v>
                </c:pt>
                <c:pt idx="167">
                  <c:v>Dec-08</c:v>
                </c:pt>
                <c:pt idx="168">
                  <c:v>Jan-09</c:v>
                </c:pt>
                <c:pt idx="169">
                  <c:v>Feb-09</c:v>
                </c:pt>
                <c:pt idx="170">
                  <c:v>Mar-09</c:v>
                </c:pt>
                <c:pt idx="171">
                  <c:v>Apr-09</c:v>
                </c:pt>
                <c:pt idx="172">
                  <c:v>May-09</c:v>
                </c:pt>
                <c:pt idx="173">
                  <c:v>Jun-09</c:v>
                </c:pt>
                <c:pt idx="174">
                  <c:v>Jul-09</c:v>
                </c:pt>
                <c:pt idx="175">
                  <c:v>Aug-09</c:v>
                </c:pt>
                <c:pt idx="176">
                  <c:v>Sep-09</c:v>
                </c:pt>
                <c:pt idx="177">
                  <c:v>Oct-09</c:v>
                </c:pt>
                <c:pt idx="178">
                  <c:v>Nov-09</c:v>
                </c:pt>
                <c:pt idx="179">
                  <c:v>Dec-09</c:v>
                </c:pt>
                <c:pt idx="180">
                  <c:v>Jan-10</c:v>
                </c:pt>
                <c:pt idx="181">
                  <c:v>Feb-10</c:v>
                </c:pt>
                <c:pt idx="182">
                  <c:v>Mar-10</c:v>
                </c:pt>
                <c:pt idx="183">
                  <c:v>Apr-10</c:v>
                </c:pt>
                <c:pt idx="184">
                  <c:v>May-10</c:v>
                </c:pt>
                <c:pt idx="185">
                  <c:v>Jun-10</c:v>
                </c:pt>
                <c:pt idx="186">
                  <c:v>Jul-10</c:v>
                </c:pt>
                <c:pt idx="187">
                  <c:v>Aug-10</c:v>
                </c:pt>
                <c:pt idx="188">
                  <c:v>Sep-10</c:v>
                </c:pt>
                <c:pt idx="189">
                  <c:v>Oct-10</c:v>
                </c:pt>
                <c:pt idx="190">
                  <c:v>Nov-10</c:v>
                </c:pt>
                <c:pt idx="191">
                  <c:v>Dec-10</c:v>
                </c:pt>
                <c:pt idx="192">
                  <c:v>Jan-11</c:v>
                </c:pt>
                <c:pt idx="193">
                  <c:v>Feb-11</c:v>
                </c:pt>
              </c:strCache>
            </c:strRef>
          </c:cat>
          <c:val>
            <c:numRef>
              <c:f>'Month S&amp;P'!$J$87:$J$284</c:f>
              <c:numCache>
                <c:formatCode>#,##0_);[Red]\(#,##0\)</c:formatCode>
                <c:ptCount val="198"/>
                <c:pt idx="0">
                  <c:v>130482.1259999999</c:v>
                </c:pt>
                <c:pt idx="1">
                  <c:v>229117.9559999998</c:v>
                </c:pt>
                <c:pt idx="2">
                  <c:v>48166.49099999975</c:v>
                </c:pt>
                <c:pt idx="3">
                  <c:v>-29549.27250000031</c:v>
                </c:pt>
                <c:pt idx="4">
                  <c:v>309315.2715</c:v>
                </c:pt>
                <c:pt idx="5">
                  <c:v>-254817.6085000001</c:v>
                </c:pt>
                <c:pt idx="6">
                  <c:v>-146822.3810000001</c:v>
                </c:pt>
                <c:pt idx="7">
                  <c:v>-103367.873</c:v>
                </c:pt>
                <c:pt idx="8">
                  <c:v>-466078.417</c:v>
                </c:pt>
                <c:pt idx="9">
                  <c:v>-672412.9804999999</c:v>
                </c:pt>
                <c:pt idx="10">
                  <c:v>-809610.1790000002</c:v>
                </c:pt>
                <c:pt idx="11">
                  <c:v>-1.001042067E6</c:v>
                </c:pt>
                <c:pt idx="12">
                  <c:v>-872827.841</c:v>
                </c:pt>
                <c:pt idx="13">
                  <c:v>-767808.919</c:v>
                </c:pt>
                <c:pt idx="14">
                  <c:v>-847858.9809999999</c:v>
                </c:pt>
                <c:pt idx="15">
                  <c:v>-436111.4139999998</c:v>
                </c:pt>
                <c:pt idx="16">
                  <c:v>-174901.912</c:v>
                </c:pt>
                <c:pt idx="17">
                  <c:v>277687.403</c:v>
                </c:pt>
                <c:pt idx="18">
                  <c:v>-42884.7769999999</c:v>
                </c:pt>
                <c:pt idx="19">
                  <c:v>-445000.1680000001</c:v>
                </c:pt>
                <c:pt idx="20">
                  <c:v>-215562.82</c:v>
                </c:pt>
                <c:pt idx="21">
                  <c:v>-328479.3410000001</c:v>
                </c:pt>
                <c:pt idx="22">
                  <c:v>-370155.4519999998</c:v>
                </c:pt>
                <c:pt idx="23">
                  <c:v>229235.6640000001</c:v>
                </c:pt>
                <c:pt idx="24">
                  <c:v>348636.721</c:v>
                </c:pt>
                <c:pt idx="25">
                  <c:v>21582.528</c:v>
                </c:pt>
                <c:pt idx="26">
                  <c:v>470940.7070000001</c:v>
                </c:pt>
                <c:pt idx="27">
                  <c:v>50026.33050000007</c:v>
                </c:pt>
                <c:pt idx="28">
                  <c:v>-365696.7245</c:v>
                </c:pt>
                <c:pt idx="29">
                  <c:v>-536042.8675</c:v>
                </c:pt>
                <c:pt idx="30">
                  <c:v>-1722.311000000045</c:v>
                </c:pt>
                <c:pt idx="31">
                  <c:v>237992.5710000001</c:v>
                </c:pt>
                <c:pt idx="32">
                  <c:v>166005.6310000001</c:v>
                </c:pt>
                <c:pt idx="33">
                  <c:v>908961.8565</c:v>
                </c:pt>
                <c:pt idx="34">
                  <c:v>864067.4140000001</c:v>
                </c:pt>
                <c:pt idx="35">
                  <c:v>356105.7860000001</c:v>
                </c:pt>
                <c:pt idx="36">
                  <c:v>121240.4500000001</c:v>
                </c:pt>
                <c:pt idx="37">
                  <c:v>41435.40000000005</c:v>
                </c:pt>
                <c:pt idx="38">
                  <c:v>-344592.912</c:v>
                </c:pt>
                <c:pt idx="39">
                  <c:v>42893.19400000002</c:v>
                </c:pt>
                <c:pt idx="40">
                  <c:v>-132080.9079999999</c:v>
                </c:pt>
                <c:pt idx="41">
                  <c:v>153683.593</c:v>
                </c:pt>
                <c:pt idx="42">
                  <c:v>-43667.89000000001</c:v>
                </c:pt>
                <c:pt idx="43">
                  <c:v>-172833.513</c:v>
                </c:pt>
                <c:pt idx="44">
                  <c:v>-638640.861</c:v>
                </c:pt>
                <c:pt idx="45">
                  <c:v>-1.188806495E6</c:v>
                </c:pt>
                <c:pt idx="46">
                  <c:v>-959218.963</c:v>
                </c:pt>
                <c:pt idx="47">
                  <c:v>-881202.263</c:v>
                </c:pt>
                <c:pt idx="48">
                  <c:v>-754797.596</c:v>
                </c:pt>
                <c:pt idx="49">
                  <c:v>-406395.775</c:v>
                </c:pt>
                <c:pt idx="50">
                  <c:v>141484.885</c:v>
                </c:pt>
                <c:pt idx="51">
                  <c:v>44806.35199999995</c:v>
                </c:pt>
                <c:pt idx="52">
                  <c:v>730172.463</c:v>
                </c:pt>
                <c:pt idx="53">
                  <c:v>616980.75</c:v>
                </c:pt>
                <c:pt idx="54">
                  <c:v>773804.629</c:v>
                </c:pt>
                <c:pt idx="55">
                  <c:v>1.111380253E6</c:v>
                </c:pt>
                <c:pt idx="56">
                  <c:v>2.182513147E6</c:v>
                </c:pt>
                <c:pt idx="57">
                  <c:v>2.08308564E6</c:v>
                </c:pt>
                <c:pt idx="58">
                  <c:v>1.94414899E6</c:v>
                </c:pt>
                <c:pt idx="59">
                  <c:v>1.966865E6</c:v>
                </c:pt>
                <c:pt idx="60">
                  <c:v>1.707621E6</c:v>
                </c:pt>
                <c:pt idx="61">
                  <c:v>1.739758E6</c:v>
                </c:pt>
                <c:pt idx="62">
                  <c:v>1.363192E6</c:v>
                </c:pt>
                <c:pt idx="63">
                  <c:v>1.198946E6</c:v>
                </c:pt>
                <c:pt idx="64">
                  <c:v>1.115245E6</c:v>
                </c:pt>
                <c:pt idx="65">
                  <c:v>1.276449E6</c:v>
                </c:pt>
                <c:pt idx="66">
                  <c:v>1.021497E6</c:v>
                </c:pt>
                <c:pt idx="67">
                  <c:v>894381.0</c:v>
                </c:pt>
                <c:pt idx="68">
                  <c:v>394680.0</c:v>
                </c:pt>
                <c:pt idx="69">
                  <c:v>812751.0</c:v>
                </c:pt>
                <c:pt idx="70">
                  <c:v>683235.0</c:v>
                </c:pt>
                <c:pt idx="71">
                  <c:v>738793.0</c:v>
                </c:pt>
                <c:pt idx="72">
                  <c:v>842771.0</c:v>
                </c:pt>
                <c:pt idx="73">
                  <c:v>836375.0</c:v>
                </c:pt>
                <c:pt idx="74">
                  <c:v>789410.0</c:v>
                </c:pt>
                <c:pt idx="75">
                  <c:v>1.314056E6</c:v>
                </c:pt>
                <c:pt idx="76">
                  <c:v>951597.0</c:v>
                </c:pt>
                <c:pt idx="77">
                  <c:v>911727.0</c:v>
                </c:pt>
                <c:pt idx="78">
                  <c:v>832328.0</c:v>
                </c:pt>
                <c:pt idx="79">
                  <c:v>800250.0</c:v>
                </c:pt>
                <c:pt idx="80">
                  <c:v>580439.0</c:v>
                </c:pt>
                <c:pt idx="81">
                  <c:v>752605.0</c:v>
                </c:pt>
                <c:pt idx="82">
                  <c:v>1.021929E6</c:v>
                </c:pt>
                <c:pt idx="83">
                  <c:v>779019.0</c:v>
                </c:pt>
                <c:pt idx="84">
                  <c:v>668247.0</c:v>
                </c:pt>
                <c:pt idx="85">
                  <c:v>258499.0</c:v>
                </c:pt>
                <c:pt idx="86">
                  <c:v>550505.0</c:v>
                </c:pt>
                <c:pt idx="87">
                  <c:v>-299937.0</c:v>
                </c:pt>
                <c:pt idx="88">
                  <c:v>-242079.0</c:v>
                </c:pt>
                <c:pt idx="89">
                  <c:v>-760415.0</c:v>
                </c:pt>
                <c:pt idx="90">
                  <c:v>-900543.0</c:v>
                </c:pt>
                <c:pt idx="91">
                  <c:v>-1.386134E6</c:v>
                </c:pt>
                <c:pt idx="92">
                  <c:v>-1.360563E6</c:v>
                </c:pt>
                <c:pt idx="93">
                  <c:v>-2.434852E6</c:v>
                </c:pt>
                <c:pt idx="94">
                  <c:v>-2.425287E6</c:v>
                </c:pt>
                <c:pt idx="95">
                  <c:v>-2.111415E6</c:v>
                </c:pt>
                <c:pt idx="96">
                  <c:v>-2.08474E6</c:v>
                </c:pt>
                <c:pt idx="97">
                  <c:v>-1.844382E6</c:v>
                </c:pt>
                <c:pt idx="98">
                  <c:v>-2.644709E6</c:v>
                </c:pt>
                <c:pt idx="99">
                  <c:v>-2.041957E6</c:v>
                </c:pt>
                <c:pt idx="100">
                  <c:v>-2.27861E6</c:v>
                </c:pt>
                <c:pt idx="101">
                  <c:v>-1.536845E6</c:v>
                </c:pt>
                <c:pt idx="102">
                  <c:v>-1.044581E6</c:v>
                </c:pt>
                <c:pt idx="103">
                  <c:v>-113298.0</c:v>
                </c:pt>
                <c:pt idx="104">
                  <c:v>220651.0</c:v>
                </c:pt>
                <c:pt idx="105">
                  <c:v>902456.0</c:v>
                </c:pt>
                <c:pt idx="106">
                  <c:v>739530.0</c:v>
                </c:pt>
                <c:pt idx="107">
                  <c:v>423794.0</c:v>
                </c:pt>
                <c:pt idx="108">
                  <c:v>655355.0</c:v>
                </c:pt>
                <c:pt idx="109">
                  <c:v>410377.0</c:v>
                </c:pt>
                <c:pt idx="110">
                  <c:v>1.273946E6</c:v>
                </c:pt>
                <c:pt idx="111">
                  <c:v>735386.0</c:v>
                </c:pt>
                <c:pt idx="112">
                  <c:v>670900.0</c:v>
                </c:pt>
                <c:pt idx="113">
                  <c:v>207326.0</c:v>
                </c:pt>
                <c:pt idx="114">
                  <c:v>-400012.0</c:v>
                </c:pt>
                <c:pt idx="115">
                  <c:v>-1.242183E6</c:v>
                </c:pt>
                <c:pt idx="116">
                  <c:v>-1.455252E6</c:v>
                </c:pt>
                <c:pt idx="117">
                  <c:v>-1.256341E6</c:v>
                </c:pt>
                <c:pt idx="118">
                  <c:v>-1.474454E6</c:v>
                </c:pt>
                <c:pt idx="119">
                  <c:v>-1.20519E6</c:v>
                </c:pt>
                <c:pt idx="120">
                  <c:v>-1.566706E6</c:v>
                </c:pt>
                <c:pt idx="121">
                  <c:v>-1.364606E6</c:v>
                </c:pt>
                <c:pt idx="122">
                  <c:v>-1.587063E6</c:v>
                </c:pt>
                <c:pt idx="123">
                  <c:v>-959641.0</c:v>
                </c:pt>
                <c:pt idx="124">
                  <c:v>-94805.0</c:v>
                </c:pt>
                <c:pt idx="125">
                  <c:v>-208490.0</c:v>
                </c:pt>
                <c:pt idx="126">
                  <c:v>188372.0</c:v>
                </c:pt>
                <c:pt idx="127">
                  <c:v>717319.0</c:v>
                </c:pt>
                <c:pt idx="128">
                  <c:v>541483.0</c:v>
                </c:pt>
                <c:pt idx="129">
                  <c:v>45999.0</c:v>
                </c:pt>
                <c:pt idx="130">
                  <c:v>382750.0</c:v>
                </c:pt>
                <c:pt idx="131">
                  <c:v>418796.0</c:v>
                </c:pt>
                <c:pt idx="132">
                  <c:v>876526.0</c:v>
                </c:pt>
                <c:pt idx="133">
                  <c:v>1.269743E6</c:v>
                </c:pt>
                <c:pt idx="134">
                  <c:v>724781.0</c:v>
                </c:pt>
                <c:pt idx="135">
                  <c:v>282014.0</c:v>
                </c:pt>
                <c:pt idx="136">
                  <c:v>-514085.0</c:v>
                </c:pt>
                <c:pt idx="137">
                  <c:v>-547605.0</c:v>
                </c:pt>
                <c:pt idx="138">
                  <c:v>-332539.0</c:v>
                </c:pt>
                <c:pt idx="139">
                  <c:v>-649927.0</c:v>
                </c:pt>
                <c:pt idx="140">
                  <c:v>-602363.0</c:v>
                </c:pt>
                <c:pt idx="141">
                  <c:v>-138524.0</c:v>
                </c:pt>
                <c:pt idx="142">
                  <c:v>97699.0</c:v>
                </c:pt>
                <c:pt idx="143">
                  <c:v>-89298.0</c:v>
                </c:pt>
                <c:pt idx="144">
                  <c:v>-467960.0</c:v>
                </c:pt>
                <c:pt idx="145">
                  <c:v>-1.162882E6</c:v>
                </c:pt>
                <c:pt idx="146">
                  <c:v>-700327.0</c:v>
                </c:pt>
                <c:pt idx="147">
                  <c:v>-381070.0</c:v>
                </c:pt>
                <c:pt idx="148">
                  <c:v>-251276.0</c:v>
                </c:pt>
                <c:pt idx="149">
                  <c:v>744320.0</c:v>
                </c:pt>
                <c:pt idx="150">
                  <c:v>846521.0</c:v>
                </c:pt>
                <c:pt idx="151">
                  <c:v>1.210492E6</c:v>
                </c:pt>
                <c:pt idx="152">
                  <c:v>1.539136E6</c:v>
                </c:pt>
                <c:pt idx="153">
                  <c:v>1.596415E6</c:v>
                </c:pt>
                <c:pt idx="154">
                  <c:v>1.151572E6</c:v>
                </c:pt>
                <c:pt idx="155">
                  <c:v>1.395068E6</c:v>
                </c:pt>
                <c:pt idx="156">
                  <c:v>1.863889E6</c:v>
                </c:pt>
                <c:pt idx="157">
                  <c:v>2.641486E6</c:v>
                </c:pt>
                <c:pt idx="158">
                  <c:v>2.742068E6</c:v>
                </c:pt>
                <c:pt idx="159">
                  <c:v>2.979502E6</c:v>
                </c:pt>
                <c:pt idx="160">
                  <c:v>3.592137E6</c:v>
                </c:pt>
                <c:pt idx="161">
                  <c:v>2.795071E6</c:v>
                </c:pt>
                <c:pt idx="162">
                  <c:v>2.799783E6</c:v>
                </c:pt>
                <c:pt idx="163">
                  <c:v>2.90096E6</c:v>
                </c:pt>
                <c:pt idx="164">
                  <c:v>3.022387E6</c:v>
                </c:pt>
                <c:pt idx="165">
                  <c:v>3.060749E6</c:v>
                </c:pt>
                <c:pt idx="166">
                  <c:v>3.113489E6</c:v>
                </c:pt>
                <c:pt idx="167">
                  <c:v>2.896316E6</c:v>
                </c:pt>
                <c:pt idx="168">
                  <c:v>2.346483E6</c:v>
                </c:pt>
                <c:pt idx="169">
                  <c:v>1.853093E6</c:v>
                </c:pt>
                <c:pt idx="170">
                  <c:v>1.935971E6</c:v>
                </c:pt>
                <c:pt idx="171">
                  <c:v>1.031606E6</c:v>
                </c:pt>
                <c:pt idx="172">
                  <c:v>-335715.0</c:v>
                </c:pt>
                <c:pt idx="173">
                  <c:v>-895084.0</c:v>
                </c:pt>
                <c:pt idx="174">
                  <c:v>-1.677038E6</c:v>
                </c:pt>
                <c:pt idx="175">
                  <c:v>-1.994899E6</c:v>
                </c:pt>
                <c:pt idx="176">
                  <c:v>-2.831357E6</c:v>
                </c:pt>
                <c:pt idx="177">
                  <c:v>-3.856927E6</c:v>
                </c:pt>
                <c:pt idx="178">
                  <c:v>-3.804579E6</c:v>
                </c:pt>
                <c:pt idx="179">
                  <c:v>-3.822014E6</c:v>
                </c:pt>
                <c:pt idx="180">
                  <c:v>-3.803132E6</c:v>
                </c:pt>
                <c:pt idx="181">
                  <c:v>-4.099537E6</c:v>
                </c:pt>
                <c:pt idx="182">
                  <c:v>-4.974742E6</c:v>
                </c:pt>
                <c:pt idx="183">
                  <c:v>-3.948224E6</c:v>
                </c:pt>
                <c:pt idx="184">
                  <c:v>-2.276165E6</c:v>
                </c:pt>
                <c:pt idx="185">
                  <c:v>-1.140097E6</c:v>
                </c:pt>
                <c:pt idx="186">
                  <c:v>-741532.0</c:v>
                </c:pt>
                <c:pt idx="187">
                  <c:v>-754842.0</c:v>
                </c:pt>
                <c:pt idx="188">
                  <c:v>11001.0</c:v>
                </c:pt>
                <c:pt idx="189">
                  <c:v>826152.0</c:v>
                </c:pt>
                <c:pt idx="190">
                  <c:v>971247.0</c:v>
                </c:pt>
                <c:pt idx="191">
                  <c:v>1.391379E6</c:v>
                </c:pt>
                <c:pt idx="192">
                  <c:v>1.949498E6</c:v>
                </c:pt>
                <c:pt idx="193">
                  <c:v>2.586458E6</c:v>
                </c:pt>
                <c:pt idx="194">
                  <c:v>3.691536E6</c:v>
                </c:pt>
                <c:pt idx="195">
                  <c:v>2.835498E6</c:v>
                </c:pt>
                <c:pt idx="196">
                  <c:v>1.97745E6</c:v>
                </c:pt>
                <c:pt idx="197">
                  <c:v>1.148616E6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8381992"/>
        <c:axId val="-2058378632"/>
      </c:lineChart>
      <c:catAx>
        <c:axId val="-205838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378632"/>
        <c:crosses val="autoZero"/>
        <c:auto val="0"/>
        <c:lblAlgn val="ctr"/>
        <c:lblOffset val="100"/>
        <c:tickLblSkip val="6"/>
        <c:tickMarkSkip val="6"/>
        <c:noMultiLvlLbl val="0"/>
      </c:catAx>
      <c:valAx>
        <c:axId val="-2058378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381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59259259259"/>
          <c:y val="0.174291938997821"/>
          <c:w val="0.220740740740741"/>
          <c:h val="0.09368191721132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Trailing 12 Months Sales and Profit</a:t>
            </a:r>
          </a:p>
        </c:rich>
      </c:tx>
      <c:layout>
        <c:manualLayout>
          <c:xMode val="edge"/>
          <c:yMode val="edge"/>
          <c:x val="0.32444444444444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88888888889"/>
          <c:y val="0.128540305010893"/>
          <c:w val="0.684444444444444"/>
          <c:h val="0.854030501089325"/>
        </c:manualLayout>
      </c:layout>
      <c:lineChart>
        <c:grouping val="standard"/>
        <c:varyColors val="0"/>
        <c:ser>
          <c:idx val="1"/>
          <c:order val="0"/>
          <c:tx>
            <c:v>&lt;--- Profit</c:v>
          </c:tx>
          <c:spPr>
            <a:ln w="38100">
              <a:solidFill>
                <a:srgbClr val="FFFFC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00808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'Month S&amp;P'!$A$130:$A$326</c:f>
              <c:numCache>
                <c:formatCode>mmm\-yy</c:formatCode>
                <c:ptCount val="197"/>
                <c:pt idx="0">
                  <c:v>34546.0</c:v>
                </c:pt>
                <c:pt idx="1">
                  <c:v>34577.0</c:v>
                </c:pt>
                <c:pt idx="2">
                  <c:v>34607.0</c:v>
                </c:pt>
                <c:pt idx="3">
                  <c:v>34638.0</c:v>
                </c:pt>
                <c:pt idx="4">
                  <c:v>34668.0</c:v>
                </c:pt>
                <c:pt idx="5">
                  <c:v>34699.0</c:v>
                </c:pt>
                <c:pt idx="6">
                  <c:v>34730.0</c:v>
                </c:pt>
                <c:pt idx="7">
                  <c:v>34758.0</c:v>
                </c:pt>
                <c:pt idx="8">
                  <c:v>34789.0</c:v>
                </c:pt>
                <c:pt idx="9">
                  <c:v>34819.0</c:v>
                </c:pt>
                <c:pt idx="10">
                  <c:v>34850.0</c:v>
                </c:pt>
                <c:pt idx="11">
                  <c:v>34880.0</c:v>
                </c:pt>
                <c:pt idx="12">
                  <c:v>34911.0</c:v>
                </c:pt>
                <c:pt idx="13">
                  <c:v>34942.0</c:v>
                </c:pt>
                <c:pt idx="14">
                  <c:v>34972.0</c:v>
                </c:pt>
                <c:pt idx="15">
                  <c:v>35003.0</c:v>
                </c:pt>
                <c:pt idx="16">
                  <c:v>35033.0</c:v>
                </c:pt>
                <c:pt idx="17">
                  <c:v>35064.0</c:v>
                </c:pt>
                <c:pt idx="18">
                  <c:v>35095.0</c:v>
                </c:pt>
                <c:pt idx="19">
                  <c:v>35124.0</c:v>
                </c:pt>
                <c:pt idx="20">
                  <c:v>35155.0</c:v>
                </c:pt>
                <c:pt idx="21">
                  <c:v>35185.0</c:v>
                </c:pt>
                <c:pt idx="22">
                  <c:v>35216.0</c:v>
                </c:pt>
                <c:pt idx="23">
                  <c:v>35246.0</c:v>
                </c:pt>
                <c:pt idx="24">
                  <c:v>35277.0</c:v>
                </c:pt>
                <c:pt idx="25">
                  <c:v>35308.0</c:v>
                </c:pt>
                <c:pt idx="26">
                  <c:v>35338.0</c:v>
                </c:pt>
                <c:pt idx="27">
                  <c:v>35369.0</c:v>
                </c:pt>
                <c:pt idx="28">
                  <c:v>35399.0</c:v>
                </c:pt>
                <c:pt idx="29">
                  <c:v>35430.0</c:v>
                </c:pt>
                <c:pt idx="30">
                  <c:v>35461.0</c:v>
                </c:pt>
                <c:pt idx="31">
                  <c:v>35489.0</c:v>
                </c:pt>
                <c:pt idx="32">
                  <c:v>35520.0</c:v>
                </c:pt>
                <c:pt idx="33">
                  <c:v>35550.0</c:v>
                </c:pt>
                <c:pt idx="34">
                  <c:v>35581.0</c:v>
                </c:pt>
                <c:pt idx="35">
                  <c:v>35611.0</c:v>
                </c:pt>
                <c:pt idx="36">
                  <c:v>35642.0</c:v>
                </c:pt>
                <c:pt idx="37">
                  <c:v>35673.0</c:v>
                </c:pt>
                <c:pt idx="38">
                  <c:v>35703.0</c:v>
                </c:pt>
                <c:pt idx="39">
                  <c:v>35734.0</c:v>
                </c:pt>
                <c:pt idx="40">
                  <c:v>35764.0</c:v>
                </c:pt>
                <c:pt idx="41">
                  <c:v>35795.0</c:v>
                </c:pt>
                <c:pt idx="42">
                  <c:v>35826.0</c:v>
                </c:pt>
                <c:pt idx="43">
                  <c:v>35854.0</c:v>
                </c:pt>
                <c:pt idx="44">
                  <c:v>35885.0</c:v>
                </c:pt>
                <c:pt idx="45">
                  <c:v>35915.0</c:v>
                </c:pt>
                <c:pt idx="46">
                  <c:v>35946.0</c:v>
                </c:pt>
                <c:pt idx="47">
                  <c:v>35976.0</c:v>
                </c:pt>
                <c:pt idx="48">
                  <c:v>36008.0</c:v>
                </c:pt>
                <c:pt idx="49">
                  <c:v>36039.0</c:v>
                </c:pt>
                <c:pt idx="50">
                  <c:v>36069.0</c:v>
                </c:pt>
                <c:pt idx="51">
                  <c:v>36100.0</c:v>
                </c:pt>
                <c:pt idx="52">
                  <c:v>36130.0</c:v>
                </c:pt>
                <c:pt idx="53">
                  <c:v>36161.0</c:v>
                </c:pt>
                <c:pt idx="54">
                  <c:v>36192.0</c:v>
                </c:pt>
                <c:pt idx="55">
                  <c:v>36220.0</c:v>
                </c:pt>
                <c:pt idx="56">
                  <c:v>36251.0</c:v>
                </c:pt>
                <c:pt idx="57">
                  <c:v>36281.0</c:v>
                </c:pt>
                <c:pt idx="58">
                  <c:v>36312.0</c:v>
                </c:pt>
                <c:pt idx="59">
                  <c:v>36342.0</c:v>
                </c:pt>
                <c:pt idx="60">
                  <c:v>36373.0</c:v>
                </c:pt>
                <c:pt idx="61">
                  <c:v>36404.0</c:v>
                </c:pt>
                <c:pt idx="62">
                  <c:v>36434.0</c:v>
                </c:pt>
                <c:pt idx="63">
                  <c:v>36465.0</c:v>
                </c:pt>
                <c:pt idx="64">
                  <c:v>36495.0</c:v>
                </c:pt>
                <c:pt idx="65">
                  <c:v>36526.0</c:v>
                </c:pt>
                <c:pt idx="66">
                  <c:v>36557.0</c:v>
                </c:pt>
                <c:pt idx="67">
                  <c:v>36585.0</c:v>
                </c:pt>
                <c:pt idx="68">
                  <c:v>36619.0</c:v>
                </c:pt>
                <c:pt idx="69">
                  <c:v>36650.0</c:v>
                </c:pt>
                <c:pt idx="70">
                  <c:v>36682.0</c:v>
                </c:pt>
                <c:pt idx="71">
                  <c:v>36736.0</c:v>
                </c:pt>
                <c:pt idx="72">
                  <c:v>36768.0</c:v>
                </c:pt>
                <c:pt idx="73">
                  <c:v>36798.0</c:v>
                </c:pt>
                <c:pt idx="74">
                  <c:v>36828.0</c:v>
                </c:pt>
                <c:pt idx="75">
                  <c:v>36859.0</c:v>
                </c:pt>
                <c:pt idx="76">
                  <c:v>36889.0</c:v>
                </c:pt>
                <c:pt idx="77">
                  <c:v>36920.0</c:v>
                </c:pt>
                <c:pt idx="78">
                  <c:v>36949.0</c:v>
                </c:pt>
                <c:pt idx="79">
                  <c:v>36979.0</c:v>
                </c:pt>
                <c:pt idx="80">
                  <c:v>37010.0</c:v>
                </c:pt>
                <c:pt idx="81">
                  <c:v>37040.0</c:v>
                </c:pt>
                <c:pt idx="82">
                  <c:v>37071.0</c:v>
                </c:pt>
                <c:pt idx="83">
                  <c:v>37101.0</c:v>
                </c:pt>
                <c:pt idx="84">
                  <c:v>37132.0</c:v>
                </c:pt>
                <c:pt idx="85">
                  <c:v>37163.0</c:v>
                </c:pt>
                <c:pt idx="86">
                  <c:v>37193.0</c:v>
                </c:pt>
                <c:pt idx="87">
                  <c:v>37224.0</c:v>
                </c:pt>
                <c:pt idx="88">
                  <c:v>37254.0</c:v>
                </c:pt>
                <c:pt idx="89">
                  <c:v>37285.0</c:v>
                </c:pt>
                <c:pt idx="90">
                  <c:v>37314.0</c:v>
                </c:pt>
                <c:pt idx="91">
                  <c:v>37342.0</c:v>
                </c:pt>
                <c:pt idx="92">
                  <c:v>37373.0</c:v>
                </c:pt>
                <c:pt idx="93">
                  <c:v>37403.0</c:v>
                </c:pt>
                <c:pt idx="94">
                  <c:v>37434.0</c:v>
                </c:pt>
                <c:pt idx="95">
                  <c:v>37464.0</c:v>
                </c:pt>
                <c:pt idx="96">
                  <c:v>37495.0</c:v>
                </c:pt>
                <c:pt idx="97">
                  <c:v>37526.0</c:v>
                </c:pt>
                <c:pt idx="98">
                  <c:v>37556.0</c:v>
                </c:pt>
                <c:pt idx="99">
                  <c:v>37587.0</c:v>
                </c:pt>
                <c:pt idx="100">
                  <c:v>37617.0</c:v>
                </c:pt>
                <c:pt idx="101">
                  <c:v>37648.0</c:v>
                </c:pt>
                <c:pt idx="102">
                  <c:v>37679.0</c:v>
                </c:pt>
                <c:pt idx="103">
                  <c:v>37707.0</c:v>
                </c:pt>
                <c:pt idx="104">
                  <c:v>37738.0</c:v>
                </c:pt>
                <c:pt idx="105">
                  <c:v>37768.0</c:v>
                </c:pt>
                <c:pt idx="106">
                  <c:v>37799.0</c:v>
                </c:pt>
                <c:pt idx="107">
                  <c:v>37829.0</c:v>
                </c:pt>
                <c:pt idx="108">
                  <c:v>37860.0</c:v>
                </c:pt>
                <c:pt idx="109">
                  <c:v>37891.0</c:v>
                </c:pt>
                <c:pt idx="110">
                  <c:v>37921.0</c:v>
                </c:pt>
                <c:pt idx="111">
                  <c:v>37952.0</c:v>
                </c:pt>
                <c:pt idx="112">
                  <c:v>37982.0</c:v>
                </c:pt>
                <c:pt idx="113">
                  <c:v>38013.0</c:v>
                </c:pt>
                <c:pt idx="114">
                  <c:v>38044.0</c:v>
                </c:pt>
                <c:pt idx="115">
                  <c:v>38073.0</c:v>
                </c:pt>
                <c:pt idx="116">
                  <c:v>38104.0</c:v>
                </c:pt>
                <c:pt idx="117">
                  <c:v>38134.0</c:v>
                </c:pt>
                <c:pt idx="118">
                  <c:v>38165.0</c:v>
                </c:pt>
                <c:pt idx="119">
                  <c:v>38195.0</c:v>
                </c:pt>
                <c:pt idx="120">
                  <c:v>38226.0</c:v>
                </c:pt>
                <c:pt idx="121">
                  <c:v>38257.0</c:v>
                </c:pt>
                <c:pt idx="122">
                  <c:v>38287.0</c:v>
                </c:pt>
                <c:pt idx="123">
                  <c:v>38318.0</c:v>
                </c:pt>
                <c:pt idx="124">
                  <c:v>38348.0</c:v>
                </c:pt>
                <c:pt idx="125">
                  <c:v>38379.0</c:v>
                </c:pt>
                <c:pt idx="126">
                  <c:v>38410.0</c:v>
                </c:pt>
                <c:pt idx="127">
                  <c:v>38438.0</c:v>
                </c:pt>
                <c:pt idx="128">
                  <c:v>38469.0</c:v>
                </c:pt>
                <c:pt idx="129">
                  <c:v>38499.0</c:v>
                </c:pt>
                <c:pt idx="130">
                  <c:v>38530.0</c:v>
                </c:pt>
                <c:pt idx="131">
                  <c:v>38560.0</c:v>
                </c:pt>
                <c:pt idx="132">
                  <c:v>38591.0</c:v>
                </c:pt>
                <c:pt idx="133">
                  <c:v>38622.0</c:v>
                </c:pt>
                <c:pt idx="134">
                  <c:v>38652.0</c:v>
                </c:pt>
                <c:pt idx="135">
                  <c:v>38683.0</c:v>
                </c:pt>
                <c:pt idx="136">
                  <c:v>38713.0</c:v>
                </c:pt>
                <c:pt idx="137">
                  <c:v>38744.0</c:v>
                </c:pt>
                <c:pt idx="138">
                  <c:v>38775.0</c:v>
                </c:pt>
                <c:pt idx="139">
                  <c:v>38803.0</c:v>
                </c:pt>
                <c:pt idx="140">
                  <c:v>38834.0</c:v>
                </c:pt>
                <c:pt idx="141">
                  <c:v>38864.0</c:v>
                </c:pt>
                <c:pt idx="142">
                  <c:v>38895.0</c:v>
                </c:pt>
                <c:pt idx="143">
                  <c:v>38925.0</c:v>
                </c:pt>
                <c:pt idx="144">
                  <c:v>38956.0</c:v>
                </c:pt>
                <c:pt idx="145">
                  <c:v>38987.0</c:v>
                </c:pt>
                <c:pt idx="146">
                  <c:v>39017.0</c:v>
                </c:pt>
                <c:pt idx="147">
                  <c:v>39048.0</c:v>
                </c:pt>
                <c:pt idx="148">
                  <c:v>39078.0</c:v>
                </c:pt>
                <c:pt idx="149">
                  <c:v>39109.0</c:v>
                </c:pt>
                <c:pt idx="150">
                  <c:v>39140.0</c:v>
                </c:pt>
                <c:pt idx="151">
                  <c:v>39171.0</c:v>
                </c:pt>
                <c:pt idx="152">
                  <c:v>39201.0</c:v>
                </c:pt>
                <c:pt idx="153">
                  <c:v>39232.0</c:v>
                </c:pt>
                <c:pt idx="154">
                  <c:v>39262.0</c:v>
                </c:pt>
                <c:pt idx="155">
                  <c:v>39293.0</c:v>
                </c:pt>
                <c:pt idx="156">
                  <c:v>39324.0</c:v>
                </c:pt>
                <c:pt idx="157">
                  <c:v>39354.0</c:v>
                </c:pt>
                <c:pt idx="158">
                  <c:v>39385.0</c:v>
                </c:pt>
                <c:pt idx="159">
                  <c:v>39415.0</c:v>
                </c:pt>
                <c:pt idx="160">
                  <c:v>39446.0</c:v>
                </c:pt>
                <c:pt idx="161">
                  <c:v>39477.0</c:v>
                </c:pt>
                <c:pt idx="162">
                  <c:v>39506.0</c:v>
                </c:pt>
                <c:pt idx="163">
                  <c:v>39537.0</c:v>
                </c:pt>
                <c:pt idx="164">
                  <c:v>39567.0</c:v>
                </c:pt>
                <c:pt idx="165">
                  <c:v>39598.0</c:v>
                </c:pt>
                <c:pt idx="166">
                  <c:v>39628.0</c:v>
                </c:pt>
                <c:pt idx="167">
                  <c:v>39659.0</c:v>
                </c:pt>
                <c:pt idx="168">
                  <c:v>39690.0</c:v>
                </c:pt>
                <c:pt idx="169">
                  <c:v>39720.0</c:v>
                </c:pt>
                <c:pt idx="170">
                  <c:v>39751.0</c:v>
                </c:pt>
                <c:pt idx="171">
                  <c:v>39781.0</c:v>
                </c:pt>
                <c:pt idx="172">
                  <c:v>39812.0</c:v>
                </c:pt>
                <c:pt idx="173">
                  <c:v>39843.0</c:v>
                </c:pt>
                <c:pt idx="174">
                  <c:v>39871.0</c:v>
                </c:pt>
                <c:pt idx="175">
                  <c:v>39902.0</c:v>
                </c:pt>
                <c:pt idx="176">
                  <c:v>39932.0</c:v>
                </c:pt>
                <c:pt idx="177">
                  <c:v>39963.0</c:v>
                </c:pt>
                <c:pt idx="178">
                  <c:v>39993.0</c:v>
                </c:pt>
                <c:pt idx="179">
                  <c:v>40024.0</c:v>
                </c:pt>
                <c:pt idx="180">
                  <c:v>40055.0</c:v>
                </c:pt>
                <c:pt idx="181">
                  <c:v>40085.0</c:v>
                </c:pt>
                <c:pt idx="182">
                  <c:v>40116.0</c:v>
                </c:pt>
                <c:pt idx="183">
                  <c:v>40146.0</c:v>
                </c:pt>
                <c:pt idx="184">
                  <c:v>40177.0</c:v>
                </c:pt>
              </c:numCache>
            </c:numRef>
          </c:cat>
          <c:val>
            <c:numRef>
              <c:f>'Month S&amp;P'!$H$130:$H$284</c:f>
              <c:numCache>
                <c:formatCode>#,##0_);[Red]\(#,##0\)</c:formatCode>
                <c:ptCount val="155"/>
                <c:pt idx="0">
                  <c:v>-345912.253</c:v>
                </c:pt>
                <c:pt idx="1">
                  <c:v>-832874.147</c:v>
                </c:pt>
                <c:pt idx="2">
                  <c:v>-907438.64</c:v>
                </c:pt>
                <c:pt idx="3">
                  <c:v>-803437.99</c:v>
                </c:pt>
                <c:pt idx="4">
                  <c:v>-844960.0</c:v>
                </c:pt>
                <c:pt idx="5">
                  <c:v>-712908.0</c:v>
                </c:pt>
                <c:pt idx="6">
                  <c:v>-573052.0</c:v>
                </c:pt>
                <c:pt idx="7">
                  <c:v>-172497.0</c:v>
                </c:pt>
                <c:pt idx="8">
                  <c:v>-86026.0</c:v>
                </c:pt>
                <c:pt idx="9">
                  <c:v>306338.0</c:v>
                </c:pt>
                <c:pt idx="10">
                  <c:v>351707.0</c:v>
                </c:pt>
                <c:pt idx="11">
                  <c:v>568076.0</c:v>
                </c:pt>
                <c:pt idx="12">
                  <c:v>765468.0</c:v>
                </c:pt>
                <c:pt idx="13">
                  <c:v>1.349639E6</c:v>
                </c:pt>
                <c:pt idx="14">
                  <c:v>1.175647E6</c:v>
                </c:pt>
                <c:pt idx="15">
                  <c:v>1.140711E6</c:v>
                </c:pt>
                <c:pt idx="16">
                  <c:v>1.121905E6</c:v>
                </c:pt>
                <c:pt idx="17">
                  <c:v>994713.0</c:v>
                </c:pt>
                <c:pt idx="18">
                  <c:v>1.166706E6</c:v>
                </c:pt>
                <c:pt idx="19">
                  <c:v>1.190695E6</c:v>
                </c:pt>
                <c:pt idx="20">
                  <c:v>1.11292E6</c:v>
                </c:pt>
                <c:pt idx="21">
                  <c:v>1.421583E6</c:v>
                </c:pt>
                <c:pt idx="22">
                  <c:v>1.628156E6</c:v>
                </c:pt>
                <c:pt idx="23">
                  <c:v>1.589573E6</c:v>
                </c:pt>
                <c:pt idx="24">
                  <c:v>1.659849E6</c:v>
                </c:pt>
                <c:pt idx="25">
                  <c:v>1.744319E6</c:v>
                </c:pt>
                <c:pt idx="26">
                  <c:v>1.988398E6</c:v>
                </c:pt>
                <c:pt idx="27">
                  <c:v>1.823946E6</c:v>
                </c:pt>
                <c:pt idx="28">
                  <c:v>1.860698E6</c:v>
                </c:pt>
                <c:pt idx="29">
                  <c:v>1.837484E6</c:v>
                </c:pt>
                <c:pt idx="30">
                  <c:v>2.003081E6</c:v>
                </c:pt>
                <c:pt idx="31">
                  <c:v>1.980105E6</c:v>
                </c:pt>
                <c:pt idx="32">
                  <c:v>2.426976E6</c:v>
                </c:pt>
                <c:pt idx="33">
                  <c:v>2.37318E6</c:v>
                </c:pt>
                <c:pt idx="34">
                  <c:v>2.539883E6</c:v>
                </c:pt>
                <c:pt idx="35">
                  <c:v>2.421901E6</c:v>
                </c:pt>
                <c:pt idx="36">
                  <c:v>2.460099E6</c:v>
                </c:pt>
                <c:pt idx="37">
                  <c:v>2.324758E6</c:v>
                </c:pt>
                <c:pt idx="38">
                  <c:v>2.741003E6</c:v>
                </c:pt>
                <c:pt idx="39">
                  <c:v>2.845875E6</c:v>
                </c:pt>
                <c:pt idx="40">
                  <c:v>2.639717E6</c:v>
                </c:pt>
                <c:pt idx="41">
                  <c:v>2.505731E6</c:v>
                </c:pt>
                <c:pt idx="42">
                  <c:v>2.26158E6</c:v>
                </c:pt>
                <c:pt idx="43">
                  <c:v>2.53061E6</c:v>
                </c:pt>
                <c:pt idx="44">
                  <c:v>2.127039E6</c:v>
                </c:pt>
                <c:pt idx="45">
                  <c:v>2.131101E6</c:v>
                </c:pt>
                <c:pt idx="46">
                  <c:v>1.779468E6</c:v>
                </c:pt>
                <c:pt idx="47">
                  <c:v>1.521358E6</c:v>
                </c:pt>
                <c:pt idx="48">
                  <c:v>1.073965E6</c:v>
                </c:pt>
                <c:pt idx="49">
                  <c:v>964195.0</c:v>
                </c:pt>
                <c:pt idx="50">
                  <c:v>306151.0</c:v>
                </c:pt>
                <c:pt idx="51">
                  <c:v>420588.0</c:v>
                </c:pt>
                <c:pt idx="52">
                  <c:v>528302.0</c:v>
                </c:pt>
                <c:pt idx="53">
                  <c:v>420991.0</c:v>
                </c:pt>
                <c:pt idx="54">
                  <c:v>417198.0</c:v>
                </c:pt>
                <c:pt idx="55">
                  <c:v>-114099.0</c:v>
                </c:pt>
                <c:pt idx="56">
                  <c:v>85082.0</c:v>
                </c:pt>
                <c:pt idx="57">
                  <c:v>-147509.0</c:v>
                </c:pt>
                <c:pt idx="58">
                  <c:v>242623.0</c:v>
                </c:pt>
                <c:pt idx="59">
                  <c:v>476777.0</c:v>
                </c:pt>
                <c:pt idx="60">
                  <c:v>960667.0</c:v>
                </c:pt>
                <c:pt idx="61">
                  <c:v>1.184846E6</c:v>
                </c:pt>
                <c:pt idx="62">
                  <c:v>1.208607E6</c:v>
                </c:pt>
                <c:pt idx="63">
                  <c:v>1.160118E6</c:v>
                </c:pt>
                <c:pt idx="64">
                  <c:v>952096.0</c:v>
                </c:pt>
                <c:pt idx="65">
                  <c:v>1.076346E6</c:v>
                </c:pt>
                <c:pt idx="66">
                  <c:v>827575.0</c:v>
                </c:pt>
                <c:pt idx="67">
                  <c:v>1.159847E6</c:v>
                </c:pt>
                <c:pt idx="68">
                  <c:v>820468.0</c:v>
                </c:pt>
                <c:pt idx="69">
                  <c:v>523391.0</c:v>
                </c:pt>
                <c:pt idx="70">
                  <c:v>449949.0</c:v>
                </c:pt>
                <c:pt idx="71">
                  <c:v>76765.0</c:v>
                </c:pt>
                <c:pt idx="72">
                  <c:v>-281516.0</c:v>
                </c:pt>
                <c:pt idx="73">
                  <c:v>-270406.0</c:v>
                </c:pt>
                <c:pt idx="74">
                  <c:v>-47734.0</c:v>
                </c:pt>
                <c:pt idx="75">
                  <c:v>-314336.0</c:v>
                </c:pt>
                <c:pt idx="76">
                  <c:v>-253094.0</c:v>
                </c:pt>
                <c:pt idx="77">
                  <c:v>-490360.0</c:v>
                </c:pt>
                <c:pt idx="78">
                  <c:v>-537031.0</c:v>
                </c:pt>
                <c:pt idx="79">
                  <c:v>-427216.0</c:v>
                </c:pt>
                <c:pt idx="80">
                  <c:v>-139173.0</c:v>
                </c:pt>
                <c:pt idx="81">
                  <c:v>428586.0</c:v>
                </c:pt>
                <c:pt idx="82">
                  <c:v>241459.0</c:v>
                </c:pt>
                <c:pt idx="83">
                  <c:v>265137.0</c:v>
                </c:pt>
                <c:pt idx="84">
                  <c:v>435803.0</c:v>
                </c:pt>
                <c:pt idx="85">
                  <c:v>271077.0</c:v>
                </c:pt>
                <c:pt idx="86">
                  <c:v>-1735.0</c:v>
                </c:pt>
                <c:pt idx="87">
                  <c:v>68414.0</c:v>
                </c:pt>
                <c:pt idx="88">
                  <c:v>165702.0</c:v>
                </c:pt>
                <c:pt idx="89">
                  <c:v>386166.0</c:v>
                </c:pt>
                <c:pt idx="90">
                  <c:v>732712.0</c:v>
                </c:pt>
                <c:pt idx="91">
                  <c:v>297565.0</c:v>
                </c:pt>
                <c:pt idx="92">
                  <c:v>142841.0</c:v>
                </c:pt>
                <c:pt idx="93">
                  <c:v>-85499.0</c:v>
                </c:pt>
                <c:pt idx="94">
                  <c:v>-306146.0</c:v>
                </c:pt>
                <c:pt idx="95">
                  <c:v>-67402.0</c:v>
                </c:pt>
                <c:pt idx="96">
                  <c:v>-214124.0</c:v>
                </c:pt>
                <c:pt idx="97">
                  <c:v>-331286.0</c:v>
                </c:pt>
                <c:pt idx="98">
                  <c:v>-140259.0</c:v>
                </c:pt>
                <c:pt idx="99">
                  <c:v>166113.0</c:v>
                </c:pt>
                <c:pt idx="100">
                  <c:v>76404.0</c:v>
                </c:pt>
                <c:pt idx="101">
                  <c:v>-81794.0</c:v>
                </c:pt>
                <c:pt idx="102">
                  <c:v>-430170.0</c:v>
                </c:pt>
                <c:pt idx="103">
                  <c:v>-402762.0</c:v>
                </c:pt>
                <c:pt idx="104">
                  <c:v>-238229.0</c:v>
                </c:pt>
                <c:pt idx="105">
                  <c:v>-336775.0</c:v>
                </c:pt>
                <c:pt idx="106">
                  <c:v>438174.0</c:v>
                </c:pt>
                <c:pt idx="107">
                  <c:v>779119.0</c:v>
                </c:pt>
                <c:pt idx="108">
                  <c:v>996368.0</c:v>
                </c:pt>
                <c:pt idx="109">
                  <c:v>1.20785E6</c:v>
                </c:pt>
                <c:pt idx="110">
                  <c:v>1.456156E6</c:v>
                </c:pt>
                <c:pt idx="111">
                  <c:v>1.317685E6</c:v>
                </c:pt>
                <c:pt idx="112">
                  <c:v>1.471472E6</c:v>
                </c:pt>
                <c:pt idx="113">
                  <c:v>1.782095E6</c:v>
                </c:pt>
                <c:pt idx="114">
                  <c:v>2.211316E6</c:v>
                </c:pt>
                <c:pt idx="115">
                  <c:v>2.339306E6</c:v>
                </c:pt>
                <c:pt idx="116">
                  <c:v>2.741273E6</c:v>
                </c:pt>
                <c:pt idx="117">
                  <c:v>3.255362E6</c:v>
                </c:pt>
                <c:pt idx="118">
                  <c:v>3.233245E6</c:v>
                </c:pt>
                <c:pt idx="119">
                  <c:v>3.578902E6</c:v>
                </c:pt>
                <c:pt idx="120">
                  <c:v>3.897328E6</c:v>
                </c:pt>
                <c:pt idx="121">
                  <c:v>4.230237E6</c:v>
                </c:pt>
                <c:pt idx="122">
                  <c:v>4.516905E6</c:v>
                </c:pt>
                <c:pt idx="123">
                  <c:v>4.431174E6</c:v>
                </c:pt>
                <c:pt idx="124">
                  <c:v>4.367788E6</c:v>
                </c:pt>
                <c:pt idx="125">
                  <c:v>4.128578E6</c:v>
                </c:pt>
                <c:pt idx="126">
                  <c:v>4.064409E6</c:v>
                </c:pt>
                <c:pt idx="127">
                  <c:v>4.275277E6</c:v>
                </c:pt>
                <c:pt idx="128">
                  <c:v>3.772879E6</c:v>
                </c:pt>
                <c:pt idx="129">
                  <c:v>2.919647E6</c:v>
                </c:pt>
                <c:pt idx="130">
                  <c:v>2.338161E6</c:v>
                </c:pt>
                <c:pt idx="131">
                  <c:v>1.901864E6</c:v>
                </c:pt>
                <c:pt idx="132">
                  <c:v>1.902429E6</c:v>
                </c:pt>
                <c:pt idx="133">
                  <c:v>1.39888E6</c:v>
                </c:pt>
                <c:pt idx="134">
                  <c:v>659978.0</c:v>
                </c:pt>
                <c:pt idx="135">
                  <c:v>626595.0</c:v>
                </c:pt>
                <c:pt idx="136">
                  <c:v>545774.0</c:v>
                </c:pt>
                <c:pt idx="137">
                  <c:v>325446.0</c:v>
                </c:pt>
                <c:pt idx="138">
                  <c:v>-35128.0</c:v>
                </c:pt>
                <c:pt idx="139">
                  <c:v>-699465.0</c:v>
                </c:pt>
                <c:pt idx="140">
                  <c:v>-175345.0</c:v>
                </c:pt>
                <c:pt idx="141">
                  <c:v>643482.0</c:v>
                </c:pt>
                <c:pt idx="142">
                  <c:v>1.198064E6</c:v>
                </c:pt>
                <c:pt idx="143">
                  <c:v>1.160332E6</c:v>
                </c:pt>
                <c:pt idx="144">
                  <c:v>1.147587E6</c:v>
                </c:pt>
                <c:pt idx="145">
                  <c:v>1.409881E6</c:v>
                </c:pt>
                <c:pt idx="146">
                  <c:v>1.48613E6</c:v>
                </c:pt>
                <c:pt idx="147">
                  <c:v>1.597842E6</c:v>
                </c:pt>
                <c:pt idx="148">
                  <c:v>1.937153E6</c:v>
                </c:pt>
                <c:pt idx="149">
                  <c:v>2.274944E6</c:v>
                </c:pt>
                <c:pt idx="150">
                  <c:v>2.55133E6</c:v>
                </c:pt>
                <c:pt idx="151">
                  <c:v>2.992071E6</c:v>
                </c:pt>
                <c:pt idx="152">
                  <c:v>2.660153E6</c:v>
                </c:pt>
                <c:pt idx="153">
                  <c:v>2.620932E6</c:v>
                </c:pt>
                <c:pt idx="154">
                  <c:v>2.34668E6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915432"/>
        <c:axId val="2091937384"/>
      </c:lineChart>
      <c:lineChart>
        <c:grouping val="standard"/>
        <c:varyColors val="0"/>
        <c:ser>
          <c:idx val="0"/>
          <c:order val="1"/>
          <c:tx>
            <c:v>Sales ---&gt;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'Month S&amp;P'!$A$130:$A$326</c:f>
              <c:numCache>
                <c:formatCode>mmm\-yy</c:formatCode>
                <c:ptCount val="197"/>
                <c:pt idx="0">
                  <c:v>34546.0</c:v>
                </c:pt>
                <c:pt idx="1">
                  <c:v>34577.0</c:v>
                </c:pt>
                <c:pt idx="2">
                  <c:v>34607.0</c:v>
                </c:pt>
                <c:pt idx="3">
                  <c:v>34638.0</c:v>
                </c:pt>
                <c:pt idx="4">
                  <c:v>34668.0</c:v>
                </c:pt>
                <c:pt idx="5">
                  <c:v>34699.0</c:v>
                </c:pt>
                <c:pt idx="6">
                  <c:v>34730.0</c:v>
                </c:pt>
                <c:pt idx="7">
                  <c:v>34758.0</c:v>
                </c:pt>
                <c:pt idx="8">
                  <c:v>34789.0</c:v>
                </c:pt>
                <c:pt idx="9">
                  <c:v>34819.0</c:v>
                </c:pt>
                <c:pt idx="10">
                  <c:v>34850.0</c:v>
                </c:pt>
                <c:pt idx="11">
                  <c:v>34880.0</c:v>
                </c:pt>
                <c:pt idx="12">
                  <c:v>34911.0</c:v>
                </c:pt>
                <c:pt idx="13">
                  <c:v>34942.0</c:v>
                </c:pt>
                <c:pt idx="14">
                  <c:v>34972.0</c:v>
                </c:pt>
                <c:pt idx="15">
                  <c:v>35003.0</c:v>
                </c:pt>
                <c:pt idx="16">
                  <c:v>35033.0</c:v>
                </c:pt>
                <c:pt idx="17">
                  <c:v>35064.0</c:v>
                </c:pt>
                <c:pt idx="18">
                  <c:v>35095.0</c:v>
                </c:pt>
                <c:pt idx="19">
                  <c:v>35124.0</c:v>
                </c:pt>
                <c:pt idx="20">
                  <c:v>35155.0</c:v>
                </c:pt>
                <c:pt idx="21">
                  <c:v>35185.0</c:v>
                </c:pt>
                <c:pt idx="22">
                  <c:v>35216.0</c:v>
                </c:pt>
                <c:pt idx="23">
                  <c:v>35246.0</c:v>
                </c:pt>
                <c:pt idx="24">
                  <c:v>35277.0</c:v>
                </c:pt>
                <c:pt idx="25">
                  <c:v>35308.0</c:v>
                </c:pt>
                <c:pt idx="26">
                  <c:v>35338.0</c:v>
                </c:pt>
                <c:pt idx="27">
                  <c:v>35369.0</c:v>
                </c:pt>
                <c:pt idx="28">
                  <c:v>35399.0</c:v>
                </c:pt>
                <c:pt idx="29">
                  <c:v>35430.0</c:v>
                </c:pt>
                <c:pt idx="30">
                  <c:v>35461.0</c:v>
                </c:pt>
                <c:pt idx="31">
                  <c:v>35489.0</c:v>
                </c:pt>
                <c:pt idx="32">
                  <c:v>35520.0</c:v>
                </c:pt>
                <c:pt idx="33">
                  <c:v>35550.0</c:v>
                </c:pt>
                <c:pt idx="34">
                  <c:v>35581.0</c:v>
                </c:pt>
                <c:pt idx="35">
                  <c:v>35611.0</c:v>
                </c:pt>
                <c:pt idx="36">
                  <c:v>35642.0</c:v>
                </c:pt>
                <c:pt idx="37">
                  <c:v>35673.0</c:v>
                </c:pt>
                <c:pt idx="38">
                  <c:v>35703.0</c:v>
                </c:pt>
                <c:pt idx="39">
                  <c:v>35734.0</c:v>
                </c:pt>
                <c:pt idx="40">
                  <c:v>35764.0</c:v>
                </c:pt>
                <c:pt idx="41">
                  <c:v>35795.0</c:v>
                </c:pt>
                <c:pt idx="42">
                  <c:v>35826.0</c:v>
                </c:pt>
                <c:pt idx="43">
                  <c:v>35854.0</c:v>
                </c:pt>
                <c:pt idx="44">
                  <c:v>35885.0</c:v>
                </c:pt>
                <c:pt idx="45">
                  <c:v>35915.0</c:v>
                </c:pt>
                <c:pt idx="46">
                  <c:v>35946.0</c:v>
                </c:pt>
                <c:pt idx="47">
                  <c:v>35976.0</c:v>
                </c:pt>
                <c:pt idx="48">
                  <c:v>36008.0</c:v>
                </c:pt>
                <c:pt idx="49">
                  <c:v>36039.0</c:v>
                </c:pt>
                <c:pt idx="50">
                  <c:v>36069.0</c:v>
                </c:pt>
                <c:pt idx="51">
                  <c:v>36100.0</c:v>
                </c:pt>
                <c:pt idx="52">
                  <c:v>36130.0</c:v>
                </c:pt>
                <c:pt idx="53">
                  <c:v>36161.0</c:v>
                </c:pt>
                <c:pt idx="54">
                  <c:v>36192.0</c:v>
                </c:pt>
                <c:pt idx="55">
                  <c:v>36220.0</c:v>
                </c:pt>
                <c:pt idx="56">
                  <c:v>36251.0</c:v>
                </c:pt>
                <c:pt idx="57">
                  <c:v>36281.0</c:v>
                </c:pt>
                <c:pt idx="58">
                  <c:v>36312.0</c:v>
                </c:pt>
                <c:pt idx="59">
                  <c:v>36342.0</c:v>
                </c:pt>
                <c:pt idx="60">
                  <c:v>36373.0</c:v>
                </c:pt>
                <c:pt idx="61">
                  <c:v>36404.0</c:v>
                </c:pt>
                <c:pt idx="62">
                  <c:v>36434.0</c:v>
                </c:pt>
                <c:pt idx="63">
                  <c:v>36465.0</c:v>
                </c:pt>
                <c:pt idx="64">
                  <c:v>36495.0</c:v>
                </c:pt>
                <c:pt idx="65">
                  <c:v>36526.0</c:v>
                </c:pt>
                <c:pt idx="66">
                  <c:v>36557.0</c:v>
                </c:pt>
                <c:pt idx="67">
                  <c:v>36585.0</c:v>
                </c:pt>
                <c:pt idx="68">
                  <c:v>36619.0</c:v>
                </c:pt>
                <c:pt idx="69">
                  <c:v>36650.0</c:v>
                </c:pt>
                <c:pt idx="70">
                  <c:v>36682.0</c:v>
                </c:pt>
                <c:pt idx="71">
                  <c:v>36736.0</c:v>
                </c:pt>
                <c:pt idx="72">
                  <c:v>36768.0</c:v>
                </c:pt>
                <c:pt idx="73">
                  <c:v>36798.0</c:v>
                </c:pt>
                <c:pt idx="74">
                  <c:v>36828.0</c:v>
                </c:pt>
                <c:pt idx="75">
                  <c:v>36859.0</c:v>
                </c:pt>
                <c:pt idx="76">
                  <c:v>36889.0</c:v>
                </c:pt>
                <c:pt idx="77">
                  <c:v>36920.0</c:v>
                </c:pt>
                <c:pt idx="78">
                  <c:v>36949.0</c:v>
                </c:pt>
                <c:pt idx="79">
                  <c:v>36979.0</c:v>
                </c:pt>
                <c:pt idx="80">
                  <c:v>37010.0</c:v>
                </c:pt>
                <c:pt idx="81">
                  <c:v>37040.0</c:v>
                </c:pt>
                <c:pt idx="82">
                  <c:v>37071.0</c:v>
                </c:pt>
                <c:pt idx="83">
                  <c:v>37101.0</c:v>
                </c:pt>
                <c:pt idx="84">
                  <c:v>37132.0</c:v>
                </c:pt>
                <c:pt idx="85">
                  <c:v>37163.0</c:v>
                </c:pt>
                <c:pt idx="86">
                  <c:v>37193.0</c:v>
                </c:pt>
                <c:pt idx="87">
                  <c:v>37224.0</c:v>
                </c:pt>
                <c:pt idx="88">
                  <c:v>37254.0</c:v>
                </c:pt>
                <c:pt idx="89">
                  <c:v>37285.0</c:v>
                </c:pt>
                <c:pt idx="90">
                  <c:v>37314.0</c:v>
                </c:pt>
                <c:pt idx="91">
                  <c:v>37342.0</c:v>
                </c:pt>
                <c:pt idx="92">
                  <c:v>37373.0</c:v>
                </c:pt>
                <c:pt idx="93">
                  <c:v>37403.0</c:v>
                </c:pt>
                <c:pt idx="94">
                  <c:v>37434.0</c:v>
                </c:pt>
                <c:pt idx="95">
                  <c:v>37464.0</c:v>
                </c:pt>
                <c:pt idx="96">
                  <c:v>37495.0</c:v>
                </c:pt>
                <c:pt idx="97">
                  <c:v>37526.0</c:v>
                </c:pt>
                <c:pt idx="98">
                  <c:v>37556.0</c:v>
                </c:pt>
                <c:pt idx="99">
                  <c:v>37587.0</c:v>
                </c:pt>
                <c:pt idx="100">
                  <c:v>37617.0</c:v>
                </c:pt>
                <c:pt idx="101">
                  <c:v>37648.0</c:v>
                </c:pt>
                <c:pt idx="102">
                  <c:v>37679.0</c:v>
                </c:pt>
                <c:pt idx="103">
                  <c:v>37707.0</c:v>
                </c:pt>
                <c:pt idx="104">
                  <c:v>37738.0</c:v>
                </c:pt>
                <c:pt idx="105">
                  <c:v>37768.0</c:v>
                </c:pt>
                <c:pt idx="106">
                  <c:v>37799.0</c:v>
                </c:pt>
                <c:pt idx="107">
                  <c:v>37829.0</c:v>
                </c:pt>
                <c:pt idx="108">
                  <c:v>37860.0</c:v>
                </c:pt>
                <c:pt idx="109">
                  <c:v>37891.0</c:v>
                </c:pt>
                <c:pt idx="110">
                  <c:v>37921.0</c:v>
                </c:pt>
                <c:pt idx="111">
                  <c:v>37952.0</c:v>
                </c:pt>
                <c:pt idx="112">
                  <c:v>37982.0</c:v>
                </c:pt>
                <c:pt idx="113">
                  <c:v>38013.0</c:v>
                </c:pt>
                <c:pt idx="114">
                  <c:v>38044.0</c:v>
                </c:pt>
                <c:pt idx="115">
                  <c:v>38073.0</c:v>
                </c:pt>
                <c:pt idx="116">
                  <c:v>38104.0</c:v>
                </c:pt>
                <c:pt idx="117">
                  <c:v>38134.0</c:v>
                </c:pt>
                <c:pt idx="118">
                  <c:v>38165.0</c:v>
                </c:pt>
                <c:pt idx="119">
                  <c:v>38195.0</c:v>
                </c:pt>
                <c:pt idx="120">
                  <c:v>38226.0</c:v>
                </c:pt>
                <c:pt idx="121">
                  <c:v>38257.0</c:v>
                </c:pt>
                <c:pt idx="122">
                  <c:v>38287.0</c:v>
                </c:pt>
                <c:pt idx="123">
                  <c:v>38318.0</c:v>
                </c:pt>
                <c:pt idx="124">
                  <c:v>38348.0</c:v>
                </c:pt>
                <c:pt idx="125">
                  <c:v>38379.0</c:v>
                </c:pt>
                <c:pt idx="126">
                  <c:v>38410.0</c:v>
                </c:pt>
                <c:pt idx="127">
                  <c:v>38438.0</c:v>
                </c:pt>
                <c:pt idx="128">
                  <c:v>38469.0</c:v>
                </c:pt>
                <c:pt idx="129">
                  <c:v>38499.0</c:v>
                </c:pt>
                <c:pt idx="130">
                  <c:v>38530.0</c:v>
                </c:pt>
                <c:pt idx="131">
                  <c:v>38560.0</c:v>
                </c:pt>
                <c:pt idx="132">
                  <c:v>38591.0</c:v>
                </c:pt>
                <c:pt idx="133">
                  <c:v>38622.0</c:v>
                </c:pt>
                <c:pt idx="134">
                  <c:v>38652.0</c:v>
                </c:pt>
                <c:pt idx="135">
                  <c:v>38683.0</c:v>
                </c:pt>
                <c:pt idx="136">
                  <c:v>38713.0</c:v>
                </c:pt>
                <c:pt idx="137">
                  <c:v>38744.0</c:v>
                </c:pt>
                <c:pt idx="138">
                  <c:v>38775.0</c:v>
                </c:pt>
                <c:pt idx="139">
                  <c:v>38803.0</c:v>
                </c:pt>
                <c:pt idx="140">
                  <c:v>38834.0</c:v>
                </c:pt>
                <c:pt idx="141">
                  <c:v>38864.0</c:v>
                </c:pt>
                <c:pt idx="142">
                  <c:v>38895.0</c:v>
                </c:pt>
                <c:pt idx="143">
                  <c:v>38925.0</c:v>
                </c:pt>
                <c:pt idx="144">
                  <c:v>38956.0</c:v>
                </c:pt>
                <c:pt idx="145">
                  <c:v>38987.0</c:v>
                </c:pt>
                <c:pt idx="146">
                  <c:v>39017.0</c:v>
                </c:pt>
                <c:pt idx="147">
                  <c:v>39048.0</c:v>
                </c:pt>
                <c:pt idx="148">
                  <c:v>39078.0</c:v>
                </c:pt>
                <c:pt idx="149">
                  <c:v>39109.0</c:v>
                </c:pt>
                <c:pt idx="150">
                  <c:v>39140.0</c:v>
                </c:pt>
                <c:pt idx="151">
                  <c:v>39171.0</c:v>
                </c:pt>
                <c:pt idx="152">
                  <c:v>39201.0</c:v>
                </c:pt>
                <c:pt idx="153">
                  <c:v>39232.0</c:v>
                </c:pt>
                <c:pt idx="154">
                  <c:v>39262.0</c:v>
                </c:pt>
                <c:pt idx="155">
                  <c:v>39293.0</c:v>
                </c:pt>
                <c:pt idx="156">
                  <c:v>39324.0</c:v>
                </c:pt>
                <c:pt idx="157">
                  <c:v>39354.0</c:v>
                </c:pt>
                <c:pt idx="158">
                  <c:v>39385.0</c:v>
                </c:pt>
                <c:pt idx="159">
                  <c:v>39415.0</c:v>
                </c:pt>
                <c:pt idx="160">
                  <c:v>39446.0</c:v>
                </c:pt>
                <c:pt idx="161">
                  <c:v>39477.0</c:v>
                </c:pt>
                <c:pt idx="162">
                  <c:v>39506.0</c:v>
                </c:pt>
                <c:pt idx="163">
                  <c:v>39537.0</c:v>
                </c:pt>
                <c:pt idx="164">
                  <c:v>39567.0</c:v>
                </c:pt>
                <c:pt idx="165">
                  <c:v>39598.0</c:v>
                </c:pt>
                <c:pt idx="166">
                  <c:v>39628.0</c:v>
                </c:pt>
                <c:pt idx="167">
                  <c:v>39659.0</c:v>
                </c:pt>
                <c:pt idx="168">
                  <c:v>39690.0</c:v>
                </c:pt>
                <c:pt idx="169">
                  <c:v>39720.0</c:v>
                </c:pt>
                <c:pt idx="170">
                  <c:v>39751.0</c:v>
                </c:pt>
                <c:pt idx="171">
                  <c:v>39781.0</c:v>
                </c:pt>
                <c:pt idx="172">
                  <c:v>39812.0</c:v>
                </c:pt>
                <c:pt idx="173">
                  <c:v>39843.0</c:v>
                </c:pt>
                <c:pt idx="174">
                  <c:v>39871.0</c:v>
                </c:pt>
                <c:pt idx="175">
                  <c:v>39902.0</c:v>
                </c:pt>
                <c:pt idx="176">
                  <c:v>39932.0</c:v>
                </c:pt>
                <c:pt idx="177">
                  <c:v>39963.0</c:v>
                </c:pt>
                <c:pt idx="178">
                  <c:v>39993.0</c:v>
                </c:pt>
                <c:pt idx="179">
                  <c:v>40024.0</c:v>
                </c:pt>
                <c:pt idx="180">
                  <c:v>40055.0</c:v>
                </c:pt>
                <c:pt idx="181">
                  <c:v>40085.0</c:v>
                </c:pt>
                <c:pt idx="182">
                  <c:v>40116.0</c:v>
                </c:pt>
                <c:pt idx="183">
                  <c:v>40146.0</c:v>
                </c:pt>
                <c:pt idx="184">
                  <c:v>40177.0</c:v>
                </c:pt>
              </c:numCache>
            </c:numRef>
          </c:cat>
          <c:val>
            <c:numRef>
              <c:f>'Month S&amp;P'!$W$130:$W$284</c:f>
              <c:numCache>
                <c:formatCode>#,##0_);[Red]\(#,##0\)</c:formatCode>
                <c:ptCount val="155"/>
                <c:pt idx="0">
                  <c:v>1.258604652E7</c:v>
                </c:pt>
                <c:pt idx="1">
                  <c:v>1.218254364E7</c:v>
                </c:pt>
                <c:pt idx="2">
                  <c:v>1.196415685E7</c:v>
                </c:pt>
                <c:pt idx="3">
                  <c:v>1.1824944E7</c:v>
                </c:pt>
                <c:pt idx="4">
                  <c:v>1.162544E7</c:v>
                </c:pt>
                <c:pt idx="5">
                  <c:v>1.1613534E7</c:v>
                </c:pt>
                <c:pt idx="6">
                  <c:v>1.1537554E7</c:v>
                </c:pt>
                <c:pt idx="7">
                  <c:v>1.1639972E7</c:v>
                </c:pt>
                <c:pt idx="8">
                  <c:v>1.1636886E7</c:v>
                </c:pt>
                <c:pt idx="9">
                  <c:v>1.1784803E7</c:v>
                </c:pt>
                <c:pt idx="10">
                  <c:v>1.1667728E7</c:v>
                </c:pt>
                <c:pt idx="11">
                  <c:v>1.1681549E7</c:v>
                </c:pt>
                <c:pt idx="12">
                  <c:v>1.1677774E7</c:v>
                </c:pt>
                <c:pt idx="13">
                  <c:v>1.1913147E7</c:v>
                </c:pt>
                <c:pt idx="14">
                  <c:v>1.1727663E7</c:v>
                </c:pt>
                <c:pt idx="15">
                  <c:v>1.1771887E7</c:v>
                </c:pt>
                <c:pt idx="16">
                  <c:v>1.1939454E7</c:v>
                </c:pt>
                <c:pt idx="17">
                  <c:v>1.1913192E7</c:v>
                </c:pt>
                <c:pt idx="18">
                  <c:v>1.206972E7</c:v>
                </c:pt>
                <c:pt idx="19">
                  <c:v>1.2025332E7</c:v>
                </c:pt>
                <c:pt idx="20">
                  <c:v>1.1962178E7</c:v>
                </c:pt>
                <c:pt idx="21">
                  <c:v>1.2347027E7</c:v>
                </c:pt>
                <c:pt idx="22">
                  <c:v>1.2681465E7</c:v>
                </c:pt>
                <c:pt idx="23">
                  <c:v>1.2787377E7</c:v>
                </c:pt>
                <c:pt idx="24">
                  <c:v>1.305652E7</c:v>
                </c:pt>
                <c:pt idx="25">
                  <c:v>1.3241215E7</c:v>
                </c:pt>
                <c:pt idx="26">
                  <c:v>1.3542339E7</c:v>
                </c:pt>
                <c:pt idx="27">
                  <c:v>1.3451606E7</c:v>
                </c:pt>
                <c:pt idx="28">
                  <c:v>1.3489594E7</c:v>
                </c:pt>
                <c:pt idx="29">
                  <c:v>1.3521497E7</c:v>
                </c:pt>
                <c:pt idx="30">
                  <c:v>1.3821051E7</c:v>
                </c:pt>
                <c:pt idx="31">
                  <c:v>1.392195E7</c:v>
                </c:pt>
                <c:pt idx="32">
                  <c:v>1.4630369E7</c:v>
                </c:pt>
                <c:pt idx="33">
                  <c:v>1.4793124E7</c:v>
                </c:pt>
                <c:pt idx="34">
                  <c:v>1.5099857E7</c:v>
                </c:pt>
                <c:pt idx="35">
                  <c:v>1.5229458E7</c:v>
                </c:pt>
                <c:pt idx="36">
                  <c:v>1.5422722E7</c:v>
                </c:pt>
                <c:pt idx="37">
                  <c:v>1.5340433E7</c:v>
                </c:pt>
                <c:pt idx="38">
                  <c:v>1.6009777E7</c:v>
                </c:pt>
                <c:pt idx="39">
                  <c:v>1.6209922E7</c:v>
                </c:pt>
                <c:pt idx="40">
                  <c:v>1.6240418E7</c:v>
                </c:pt>
                <c:pt idx="41">
                  <c:v>1.6181796E7</c:v>
                </c:pt>
                <c:pt idx="42">
                  <c:v>1.6013352E7</c:v>
                </c:pt>
                <c:pt idx="43">
                  <c:v>1.6444814E7</c:v>
                </c:pt>
                <c:pt idx="44">
                  <c:v>1.6091041E7</c:v>
                </c:pt>
                <c:pt idx="45">
                  <c:v>1.6047146E7</c:v>
                </c:pt>
                <c:pt idx="46">
                  <c:v>1.5768754E7</c:v>
                </c:pt>
                <c:pt idx="47">
                  <c:v>1.5366718E7</c:v>
                </c:pt>
                <c:pt idx="48">
                  <c:v>1.4797851E7</c:v>
                </c:pt>
                <c:pt idx="49">
                  <c:v>1.4635611E7</c:v>
                </c:pt>
                <c:pt idx="50">
                  <c:v>1.3878325E7</c:v>
                </c:pt>
                <c:pt idx="51">
                  <c:v>1.4024322E7</c:v>
                </c:pt>
                <c:pt idx="52">
                  <c:v>1.3860911E7</c:v>
                </c:pt>
                <c:pt idx="53">
                  <c:v>1.367887E7</c:v>
                </c:pt>
                <c:pt idx="54">
                  <c:v>1.3562654E7</c:v>
                </c:pt>
                <c:pt idx="55">
                  <c:v>1.2867251E7</c:v>
                </c:pt>
                <c:pt idx="56">
                  <c:v>1.2913116E7</c:v>
                </c:pt>
                <c:pt idx="57">
                  <c:v>1.2723187E7</c:v>
                </c:pt>
                <c:pt idx="58">
                  <c:v>1.3117779E7</c:v>
                </c:pt>
                <c:pt idx="59">
                  <c:v>1.3680349E7</c:v>
                </c:pt>
                <c:pt idx="60">
                  <c:v>1.4249051E7</c:v>
                </c:pt>
                <c:pt idx="61">
                  <c:v>1.4504026E7</c:v>
                </c:pt>
                <c:pt idx="62">
                  <c:v>1.4629575E7</c:v>
                </c:pt>
                <c:pt idx="63">
                  <c:v>1.4573621E7</c:v>
                </c:pt>
                <c:pt idx="64">
                  <c:v>1.4675E7</c:v>
                </c:pt>
                <c:pt idx="65">
                  <c:v>1.5011442E7</c:v>
                </c:pt>
                <c:pt idx="66">
                  <c:v>1.4964161E7</c:v>
                </c:pt>
                <c:pt idx="67">
                  <c:v>1.5556643E7</c:v>
                </c:pt>
                <c:pt idx="68">
                  <c:v>1.5395744E7</c:v>
                </c:pt>
                <c:pt idx="69">
                  <c:v>1.5155572E7</c:v>
                </c:pt>
                <c:pt idx="70">
                  <c:v>1.5094467E7</c:v>
                </c:pt>
                <c:pt idx="71">
                  <c:v>1.4699039E7</c:v>
                </c:pt>
                <c:pt idx="72">
                  <c:v>1.4357928E7</c:v>
                </c:pt>
                <c:pt idx="73">
                  <c:v>1.4433076E7</c:v>
                </c:pt>
                <c:pt idx="74">
                  <c:v>1.454866E7</c:v>
                </c:pt>
                <c:pt idx="75">
                  <c:v>1.418578E7</c:v>
                </c:pt>
                <c:pt idx="76">
                  <c:v>1.4009513E7</c:v>
                </c:pt>
                <c:pt idx="77">
                  <c:v>1.3664977E7</c:v>
                </c:pt>
                <c:pt idx="78">
                  <c:v>1.3566604E7</c:v>
                </c:pt>
                <c:pt idx="79">
                  <c:v>1.3543622E7</c:v>
                </c:pt>
                <c:pt idx="80">
                  <c:v>1.3818481E7</c:v>
                </c:pt>
                <c:pt idx="81">
                  <c:v>1.4454192E7</c:v>
                </c:pt>
                <c:pt idx="82">
                  <c:v>1.4431609E7</c:v>
                </c:pt>
                <c:pt idx="83">
                  <c:v>1.4436874E7</c:v>
                </c:pt>
                <c:pt idx="84">
                  <c:v>1.4631499E7</c:v>
                </c:pt>
                <c:pt idx="85">
                  <c:v>1.4550453E7</c:v>
                </c:pt>
                <c:pt idx="86">
                  <c:v>1.4347073E7</c:v>
                </c:pt>
                <c:pt idx="87">
                  <c:v>1.4633406E7</c:v>
                </c:pt>
                <c:pt idx="88">
                  <c:v>1.4915816E7</c:v>
                </c:pt>
                <c:pt idx="89">
                  <c:v>1.5215041E7</c:v>
                </c:pt>
                <c:pt idx="90">
                  <c:v>1.5760621E7</c:v>
                </c:pt>
                <c:pt idx="91">
                  <c:v>1.5671589E7</c:v>
                </c:pt>
                <c:pt idx="92">
                  <c:v>1.5590843E7</c:v>
                </c:pt>
                <c:pt idx="93">
                  <c:v>1.5549117E7</c:v>
                </c:pt>
                <c:pt idx="94">
                  <c:v>1.5515525E7</c:v>
                </c:pt>
                <c:pt idx="95">
                  <c:v>1.5815885E7</c:v>
                </c:pt>
                <c:pt idx="96">
                  <c:v>1.6051744E7</c:v>
                </c:pt>
                <c:pt idx="97">
                  <c:v>1.6104546E7</c:v>
                </c:pt>
                <c:pt idx="98">
                  <c:v>1.6511014E7</c:v>
                </c:pt>
                <c:pt idx="99">
                  <c:v>1.6953175E7</c:v>
                </c:pt>
                <c:pt idx="100">
                  <c:v>1.7041948E7</c:v>
                </c:pt>
                <c:pt idx="101">
                  <c:v>1.7063224E7</c:v>
                </c:pt>
                <c:pt idx="102">
                  <c:v>1.6738528E7</c:v>
                </c:pt>
                <c:pt idx="103">
                  <c:v>1.6686128E7</c:v>
                </c:pt>
                <c:pt idx="104">
                  <c:v>1.7050496E7</c:v>
                </c:pt>
                <c:pt idx="105">
                  <c:v>1.7111252E7</c:v>
                </c:pt>
                <c:pt idx="106">
                  <c:v>1.7846266E7</c:v>
                </c:pt>
                <c:pt idx="107">
                  <c:v>1.8355706E7</c:v>
                </c:pt>
                <c:pt idx="108">
                  <c:v>1.8687586E7</c:v>
                </c:pt>
                <c:pt idx="109">
                  <c:v>1.9147199E7</c:v>
                </c:pt>
                <c:pt idx="110">
                  <c:v>1.9522423E7</c:v>
                </c:pt>
                <c:pt idx="111">
                  <c:v>1.9557595E7</c:v>
                </c:pt>
                <c:pt idx="112">
                  <c:v>2.040193E7</c:v>
                </c:pt>
                <c:pt idx="113">
                  <c:v>2.0833811E7</c:v>
                </c:pt>
                <c:pt idx="114">
                  <c:v>2.1474177E7</c:v>
                </c:pt>
                <c:pt idx="115">
                  <c:v>2.1718652E7</c:v>
                </c:pt>
                <c:pt idx="116">
                  <c:v>2.2194976E7</c:v>
                </c:pt>
                <c:pt idx="117">
                  <c:v>2.2927627E7</c:v>
                </c:pt>
                <c:pt idx="118">
                  <c:v>2.3546397E7</c:v>
                </c:pt>
                <c:pt idx="119">
                  <c:v>2.4334049E7</c:v>
                </c:pt>
                <c:pt idx="120">
                  <c:v>2.4987397E7</c:v>
                </c:pt>
                <c:pt idx="121">
                  <c:v>2.5667809E7</c:v>
                </c:pt>
                <c:pt idx="122">
                  <c:v>2.6454768E7</c:v>
                </c:pt>
                <c:pt idx="123">
                  <c:v>2.6789655E7</c:v>
                </c:pt>
                <c:pt idx="124">
                  <c:v>2.6958692E7</c:v>
                </c:pt>
                <c:pt idx="125">
                  <c:v>2.687484E7</c:v>
                </c:pt>
                <c:pt idx="126">
                  <c:v>2.6934415E7</c:v>
                </c:pt>
                <c:pt idx="127">
                  <c:v>2.7192461E7</c:v>
                </c:pt>
                <c:pt idx="128">
                  <c:v>2.6733906E7</c:v>
                </c:pt>
                <c:pt idx="129">
                  <c:v>2.5884368E7</c:v>
                </c:pt>
                <c:pt idx="130">
                  <c:v>2.4856383E7</c:v>
                </c:pt>
                <c:pt idx="131">
                  <c:v>2.4107407E7</c:v>
                </c:pt>
                <c:pt idx="132">
                  <c:v>2.3759915E7</c:v>
                </c:pt>
                <c:pt idx="133">
                  <c:v>2.3097717E7</c:v>
                </c:pt>
                <c:pt idx="134">
                  <c:v>2.2150897E7</c:v>
                </c:pt>
                <c:pt idx="135">
                  <c:v>2.1740869E7</c:v>
                </c:pt>
                <c:pt idx="136">
                  <c:v>2.1069013E7</c:v>
                </c:pt>
                <c:pt idx="137">
                  <c:v>2.0776629E7</c:v>
                </c:pt>
                <c:pt idx="138">
                  <c:v>2.0356435E7</c:v>
                </c:pt>
                <c:pt idx="139">
                  <c:v>1.9864112E7</c:v>
                </c:pt>
                <c:pt idx="140">
                  <c:v>2.060849E7</c:v>
                </c:pt>
                <c:pt idx="141">
                  <c:v>2.1534812E7</c:v>
                </c:pt>
                <c:pt idx="142">
                  <c:v>2.2230984E7</c:v>
                </c:pt>
                <c:pt idx="143">
                  <c:v>2.2417133E7</c:v>
                </c:pt>
                <c:pt idx="144">
                  <c:v>2.2384934E7</c:v>
                </c:pt>
                <c:pt idx="145">
                  <c:v>2.2701158E7</c:v>
                </c:pt>
                <c:pt idx="146">
                  <c:v>2.2745205E7</c:v>
                </c:pt>
                <c:pt idx="147">
                  <c:v>2.2946844E7</c:v>
                </c:pt>
                <c:pt idx="148">
                  <c:v>2.3536046E7</c:v>
                </c:pt>
                <c:pt idx="149">
                  <c:v>2.382843E7</c:v>
                </c:pt>
                <c:pt idx="150">
                  <c:v>2.4248624E7</c:v>
                </c:pt>
                <c:pt idx="151">
                  <c:v>2.4740947E7</c:v>
                </c:pt>
                <c:pt idx="152">
                  <c:v>2.3996569E7</c:v>
                </c:pt>
                <c:pt idx="153">
                  <c:v>2.3070247E7</c:v>
                </c:pt>
                <c:pt idx="154">
                  <c:v>2.2374075E7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985432"/>
        <c:axId val="2091988664"/>
      </c:lineChart>
      <c:catAx>
        <c:axId val="209191543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937384"/>
        <c:crosses val="autoZero"/>
        <c:auto val="0"/>
        <c:lblAlgn val="ctr"/>
        <c:lblOffset val="100"/>
        <c:tickLblSkip val="6"/>
        <c:tickMarkSkip val="1"/>
        <c:noMultiLvlLbl val="0"/>
      </c:catAx>
      <c:valAx>
        <c:axId val="2091937384"/>
        <c:scaling>
          <c:orientation val="minMax"/>
          <c:max val="6.0E6"/>
        </c:scaling>
        <c:delete val="0"/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12 Month Profit</a:t>
                </a:r>
              </a:p>
            </c:rich>
          </c:tx>
          <c:layout>
            <c:manualLayout>
              <c:xMode val="edge"/>
              <c:yMode val="edge"/>
              <c:x val="0.0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915432"/>
        <c:crosses val="autoZero"/>
        <c:crossBetween val="between"/>
      </c:valAx>
      <c:catAx>
        <c:axId val="209198543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2091988664"/>
        <c:crosses val="autoZero"/>
        <c:auto val="0"/>
        <c:lblAlgn val="ctr"/>
        <c:lblOffset val="100"/>
        <c:noMultiLvlLbl val="0"/>
      </c:catAx>
      <c:valAx>
        <c:axId val="2091988664"/>
        <c:scaling>
          <c:orientation val="minMax"/>
          <c:max val="3.0E7"/>
        </c:scaling>
        <c:delete val="0"/>
        <c:axPos val="r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12 Month Sales</a:t>
                </a:r>
              </a:p>
            </c:rich>
          </c:tx>
          <c:layout>
            <c:manualLayout>
              <c:xMode val="edge"/>
              <c:yMode val="edge"/>
              <c:x val="0.908148148148148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91985432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9933" mc:Ignorable="a14" a14:legacySpreadsheetColorIndex="50"/>
            </a:gs>
            <a:gs pos="100000">
              <a:srgbClr xmlns:mc="http://schemas.openxmlformats.org/markup-compatibility/2006" xmlns:a14="http://schemas.microsoft.com/office/drawing/2010/main" val="003300" mc:Ignorable="a14" a14:legacySpreadsheetColorIndex="58"/>
            </a:gs>
          </a:gsLst>
          <a:lin ang="5400000" scaled="1"/>
        </a:gradFill>
        <a:ln w="12700">
          <a:solidFill>
            <a:srgbClr val="0033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103829223730235"/>
          <c:y val="0.000106752077467401"/>
          <c:w val="0.238543557221693"/>
          <c:h val="0.1917807069009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CCFFCC"/>
    </a:solidFill>
    <a:ln w="38100">
      <a:solidFill>
        <a:srgbClr val="CCFFCC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111111111"/>
          <c:y val="0.0174291938997821"/>
          <c:w val="0.782222222222222"/>
          <c:h val="0.89978213507625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('Month S&amp;P'!$B$132:$B$320,'Month S&amp;P'!$B$132:$B$320)</c:f>
              <c:numCache>
                <c:formatCode>#,##0_);[Red]\(#,##0\)</c:formatCode>
                <c:ptCount val="378"/>
                <c:pt idx="0">
                  <c:v>1.042891E6</c:v>
                </c:pt>
                <c:pt idx="1">
                  <c:v>1.013647E6</c:v>
                </c:pt>
                <c:pt idx="2">
                  <c:v>1.012613E6</c:v>
                </c:pt>
                <c:pt idx="3">
                  <c:v>935508.0</c:v>
                </c:pt>
                <c:pt idx="4">
                  <c:v>785719.0</c:v>
                </c:pt>
                <c:pt idx="5">
                  <c:v>1.218188E6</c:v>
                </c:pt>
                <c:pt idx="6">
                  <c:v>942406.0</c:v>
                </c:pt>
                <c:pt idx="7">
                  <c:v>1.033703E6</c:v>
                </c:pt>
                <c:pt idx="8">
                  <c:v>929225.0</c:v>
                </c:pt>
                <c:pt idx="9">
                  <c:v>1.012575E6</c:v>
                </c:pt>
                <c:pt idx="10">
                  <c:v>922523.0</c:v>
                </c:pt>
                <c:pt idx="11">
                  <c:v>1.064149E6</c:v>
                </c:pt>
                <c:pt idx="12">
                  <c:v>857407.0</c:v>
                </c:pt>
                <c:pt idx="13">
                  <c:v>1.057871E6</c:v>
                </c:pt>
                <c:pt idx="14">
                  <c:v>1.18018E6</c:v>
                </c:pt>
                <c:pt idx="15">
                  <c:v>909246.0</c:v>
                </c:pt>
                <c:pt idx="16">
                  <c:v>942247.0</c:v>
                </c:pt>
                <c:pt idx="17">
                  <c:v>1.1738E6</c:v>
                </c:pt>
                <c:pt idx="18">
                  <c:v>879252.0</c:v>
                </c:pt>
                <c:pt idx="19">
                  <c:v>1.418552E6</c:v>
                </c:pt>
                <c:pt idx="20">
                  <c:v>1.263663E6</c:v>
                </c:pt>
                <c:pt idx="21">
                  <c:v>1.118487E6</c:v>
                </c:pt>
                <c:pt idx="22">
                  <c:v>1.191666E6</c:v>
                </c:pt>
                <c:pt idx="23">
                  <c:v>1.248844E6</c:v>
                </c:pt>
                <c:pt idx="24">
                  <c:v>1.158531E6</c:v>
                </c:pt>
                <c:pt idx="25">
                  <c:v>967138.0</c:v>
                </c:pt>
                <c:pt idx="26">
                  <c:v>1.218168E6</c:v>
                </c:pt>
                <c:pt idx="27">
                  <c:v>941149.0</c:v>
                </c:pt>
                <c:pt idx="28">
                  <c:v>1.241801E6</c:v>
                </c:pt>
                <c:pt idx="29">
                  <c:v>1.274699E6</c:v>
                </c:pt>
                <c:pt idx="30">
                  <c:v>1.587671E6</c:v>
                </c:pt>
                <c:pt idx="31">
                  <c:v>1.581307E6</c:v>
                </c:pt>
                <c:pt idx="32">
                  <c:v>1.570396E6</c:v>
                </c:pt>
                <c:pt idx="33">
                  <c:v>1.248088E6</c:v>
                </c:pt>
                <c:pt idx="34">
                  <c:v>1.38493E6</c:v>
                </c:pt>
                <c:pt idx="35">
                  <c:v>1.166555E6</c:v>
                </c:pt>
                <c:pt idx="36">
                  <c:v>1.827875E6</c:v>
                </c:pt>
                <c:pt idx="37">
                  <c:v>1.167283E6</c:v>
                </c:pt>
                <c:pt idx="38">
                  <c:v>1.248664E6</c:v>
                </c:pt>
                <c:pt idx="39">
                  <c:v>882527.0</c:v>
                </c:pt>
                <c:pt idx="40">
                  <c:v>1.073357E6</c:v>
                </c:pt>
                <c:pt idx="41">
                  <c:v>1.706161E6</c:v>
                </c:pt>
                <c:pt idx="42">
                  <c:v>1.233898E6</c:v>
                </c:pt>
                <c:pt idx="43">
                  <c:v>1.537412E6</c:v>
                </c:pt>
                <c:pt idx="44">
                  <c:v>1.292004E6</c:v>
                </c:pt>
                <c:pt idx="45">
                  <c:v>846052.0</c:v>
                </c:pt>
                <c:pt idx="46">
                  <c:v>816063.0</c:v>
                </c:pt>
                <c:pt idx="47">
                  <c:v>1.004315E6</c:v>
                </c:pt>
                <c:pt idx="48">
                  <c:v>1.070589E6</c:v>
                </c:pt>
                <c:pt idx="49">
                  <c:v>1.31328E6</c:v>
                </c:pt>
                <c:pt idx="50">
                  <c:v>1.085253E6</c:v>
                </c:pt>
                <c:pt idx="51">
                  <c:v>700486.0</c:v>
                </c:pt>
                <c:pt idx="52">
                  <c:v>957141.0</c:v>
                </c:pt>
                <c:pt idx="53">
                  <c:v>1.010758E6</c:v>
                </c:pt>
                <c:pt idx="54">
                  <c:v>1.279763E6</c:v>
                </c:pt>
                <c:pt idx="55">
                  <c:v>1.347483E6</c:v>
                </c:pt>
                <c:pt idx="56">
                  <c:v>1.686596E6</c:v>
                </c:pt>
                <c:pt idx="57">
                  <c:v>1.408622E6</c:v>
                </c:pt>
                <c:pt idx="58">
                  <c:v>1.384765E6</c:v>
                </c:pt>
                <c:pt idx="59">
                  <c:v>1.25929E6</c:v>
                </c:pt>
                <c:pt idx="60">
                  <c:v>1.196138E6</c:v>
                </c:pt>
                <c:pt idx="61">
                  <c:v>1.257326E6</c:v>
                </c:pt>
                <c:pt idx="62">
                  <c:v>1.186632E6</c:v>
                </c:pt>
                <c:pt idx="63">
                  <c:v>1.036928E6</c:v>
                </c:pt>
                <c:pt idx="64">
                  <c:v>909860.0</c:v>
                </c:pt>
                <c:pt idx="65">
                  <c:v>1.60324E6</c:v>
                </c:pt>
                <c:pt idx="66">
                  <c:v>1.118864E6</c:v>
                </c:pt>
                <c:pt idx="67">
                  <c:v>1.107311E6</c:v>
                </c:pt>
                <c:pt idx="68">
                  <c:v>1.625491E6</c:v>
                </c:pt>
                <c:pt idx="69">
                  <c:v>1.013194E6</c:v>
                </c:pt>
                <c:pt idx="70">
                  <c:v>1.043654E6</c:v>
                </c:pt>
                <c:pt idx="71">
                  <c:v>1.334438E6</c:v>
                </c:pt>
                <c:pt idx="72">
                  <c:v>1.311722E6</c:v>
                </c:pt>
                <c:pt idx="73">
                  <c:v>894446.0</c:v>
                </c:pt>
                <c:pt idx="74">
                  <c:v>1.010365E6</c:v>
                </c:pt>
                <c:pt idx="75">
                  <c:v>692392.0</c:v>
                </c:pt>
                <c:pt idx="76">
                  <c:v>811487.0</c:v>
                </c:pt>
                <c:pt idx="77">
                  <c:v>1.580258E6</c:v>
                </c:pt>
                <c:pt idx="78">
                  <c:v>1.393723E6</c:v>
                </c:pt>
                <c:pt idx="79">
                  <c:v>1.743022E6</c:v>
                </c:pt>
                <c:pt idx="80">
                  <c:v>1.602908E6</c:v>
                </c:pt>
                <c:pt idx="81">
                  <c:v>1.018459E6</c:v>
                </c:pt>
                <c:pt idx="82">
                  <c:v>1.238279E6</c:v>
                </c:pt>
                <c:pt idx="83">
                  <c:v>1.253392E6</c:v>
                </c:pt>
                <c:pt idx="84">
                  <c:v>1.108342E6</c:v>
                </c:pt>
                <c:pt idx="85">
                  <c:v>1.180779E6</c:v>
                </c:pt>
                <c:pt idx="86">
                  <c:v>1.292775E6</c:v>
                </c:pt>
                <c:pt idx="87">
                  <c:v>991617.0</c:v>
                </c:pt>
                <c:pt idx="88">
                  <c:v>1.357067E6</c:v>
                </c:pt>
                <c:pt idx="89">
                  <c:v>1.491226E6</c:v>
                </c:pt>
                <c:pt idx="90">
                  <c:v>1.312977E6</c:v>
                </c:pt>
                <c:pt idx="91">
                  <c:v>1.701296E6</c:v>
                </c:pt>
                <c:pt idx="92">
                  <c:v>1.569316E6</c:v>
                </c:pt>
                <c:pt idx="93">
                  <c:v>1.318819E6</c:v>
                </c:pt>
                <c:pt idx="94">
                  <c:v>1.474138E6</c:v>
                </c:pt>
                <c:pt idx="95">
                  <c:v>1.306194E6</c:v>
                </c:pt>
                <c:pt idx="96">
                  <c:v>1.51481E6</c:v>
                </c:pt>
                <c:pt idx="97">
                  <c:v>1.62294E6</c:v>
                </c:pt>
                <c:pt idx="98">
                  <c:v>1.381548E6</c:v>
                </c:pt>
                <c:pt idx="99">
                  <c:v>1.012893E6</c:v>
                </c:pt>
                <c:pt idx="100">
                  <c:v>1.032371E6</c:v>
                </c:pt>
                <c:pt idx="101">
                  <c:v>1.438826E6</c:v>
                </c:pt>
                <c:pt idx="102">
                  <c:v>1.677345E6</c:v>
                </c:pt>
                <c:pt idx="103">
                  <c:v>1.762052E6</c:v>
                </c:pt>
                <c:pt idx="104">
                  <c:v>2.30433E6</c:v>
                </c:pt>
                <c:pt idx="105">
                  <c:v>1.828259E6</c:v>
                </c:pt>
                <c:pt idx="106">
                  <c:v>1.806018E6</c:v>
                </c:pt>
                <c:pt idx="107">
                  <c:v>1.765807E6</c:v>
                </c:pt>
                <c:pt idx="108">
                  <c:v>1.890034E6</c:v>
                </c:pt>
                <c:pt idx="109">
                  <c:v>1.658112E6</c:v>
                </c:pt>
                <c:pt idx="110">
                  <c:v>2.225883E6</c:v>
                </c:pt>
                <c:pt idx="111">
                  <c:v>1.444774E6</c:v>
                </c:pt>
                <c:pt idx="112">
                  <c:v>1.672737E6</c:v>
                </c:pt>
                <c:pt idx="113">
                  <c:v>1.683301E6</c:v>
                </c:pt>
                <c:pt idx="114">
                  <c:v>2.153669E6</c:v>
                </c:pt>
                <c:pt idx="115">
                  <c:v>2.494703E6</c:v>
                </c:pt>
                <c:pt idx="116">
                  <c:v>2.9231E6</c:v>
                </c:pt>
                <c:pt idx="117">
                  <c:v>2.615911E6</c:v>
                </c:pt>
                <c:pt idx="118">
                  <c:v>2.459366E6</c:v>
                </c:pt>
                <c:pt idx="119">
                  <c:v>2.446219E6</c:v>
                </c:pt>
                <c:pt idx="120">
                  <c:v>2.676993E6</c:v>
                </c:pt>
                <c:pt idx="121">
                  <c:v>1.992999E6</c:v>
                </c:pt>
                <c:pt idx="122">
                  <c:v>2.39492E6</c:v>
                </c:pt>
                <c:pt idx="123">
                  <c:v>1.360922E6</c:v>
                </c:pt>
                <c:pt idx="124">
                  <c:v>1.732312E6</c:v>
                </c:pt>
                <c:pt idx="125">
                  <c:v>1.941347E6</c:v>
                </c:pt>
                <c:pt idx="126">
                  <c:v>1.695114E6</c:v>
                </c:pt>
                <c:pt idx="127">
                  <c:v>1.645165E6</c:v>
                </c:pt>
                <c:pt idx="128">
                  <c:v>1.895115E6</c:v>
                </c:pt>
                <c:pt idx="129">
                  <c:v>1.866935E6</c:v>
                </c:pt>
                <c:pt idx="130">
                  <c:v>2.111874E6</c:v>
                </c:pt>
                <c:pt idx="131">
                  <c:v>1.784021E6</c:v>
                </c:pt>
                <c:pt idx="132">
                  <c:v>1.730173E6</c:v>
                </c:pt>
                <c:pt idx="133">
                  <c:v>1.582971E6</c:v>
                </c:pt>
                <c:pt idx="134">
                  <c:v>1.723064E6</c:v>
                </c:pt>
                <c:pt idx="135">
                  <c:v>1.068538E6</c:v>
                </c:pt>
                <c:pt idx="136">
                  <c:v>1.312118E6</c:v>
                </c:pt>
                <c:pt idx="137">
                  <c:v>1.449024E6</c:v>
                </c:pt>
                <c:pt idx="138">
                  <c:v>2.439492E6</c:v>
                </c:pt>
                <c:pt idx="139">
                  <c:v>2.571487E6</c:v>
                </c:pt>
                <c:pt idx="140">
                  <c:v>2.591287E6</c:v>
                </c:pt>
                <c:pt idx="141">
                  <c:v>2.053084E6</c:v>
                </c:pt>
                <c:pt idx="142">
                  <c:v>2.079675E6</c:v>
                </c:pt>
                <c:pt idx="143">
                  <c:v>2.100245E6</c:v>
                </c:pt>
                <c:pt idx="144">
                  <c:v>1.77422E6</c:v>
                </c:pt>
                <c:pt idx="145">
                  <c:v>1.78461E6</c:v>
                </c:pt>
                <c:pt idx="146">
                  <c:v>2.312266E6</c:v>
                </c:pt>
                <c:pt idx="147">
                  <c:v>1.360922E6</c:v>
                </c:pt>
                <c:pt idx="148">
                  <c:v>1.732312E6</c:v>
                </c:pt>
                <c:pt idx="149">
                  <c:v>1.941347E6</c:v>
                </c:pt>
                <c:pt idx="150">
                  <c:v>1.695114E6</c:v>
                </c:pt>
                <c:pt idx="151">
                  <c:v>1.645165E6</c:v>
                </c:pt>
                <c:pt idx="152">
                  <c:v>1.895115E6</c:v>
                </c:pt>
                <c:pt idx="153">
                  <c:v>1.866935E6</c:v>
                </c:pt>
                <c:pt idx="154">
                  <c:v>2.111874E6</c:v>
                </c:pt>
                <c:pt idx="155">
                  <c:v>1.784021E6</c:v>
                </c:pt>
                <c:pt idx="156">
                  <c:v>1.730173E6</c:v>
                </c:pt>
                <c:pt idx="157">
                  <c:v>1.582971E6</c:v>
                </c:pt>
                <c:pt idx="158">
                  <c:v>1.723064E6</c:v>
                </c:pt>
                <c:pt idx="159">
                  <c:v>1.068538E6</c:v>
                </c:pt>
                <c:pt idx="160">
                  <c:v>1.312118E6</c:v>
                </c:pt>
                <c:pt idx="161">
                  <c:v>1.449024E6</c:v>
                </c:pt>
                <c:pt idx="162">
                  <c:v>2.439492E6</c:v>
                </c:pt>
                <c:pt idx="163">
                  <c:v>2.571487E6</c:v>
                </c:pt>
                <c:pt idx="164">
                  <c:v>2.591287E6</c:v>
                </c:pt>
                <c:pt idx="165">
                  <c:v>2.053084E6</c:v>
                </c:pt>
                <c:pt idx="166">
                  <c:v>2.079675E6</c:v>
                </c:pt>
                <c:pt idx="167">
                  <c:v>2.100245E6</c:v>
                </c:pt>
                <c:pt idx="168">
                  <c:v>1.77422E6</c:v>
                </c:pt>
                <c:pt idx="169">
                  <c:v>1.78461E6</c:v>
                </c:pt>
                <c:pt idx="170">
                  <c:v>2.312266E6</c:v>
                </c:pt>
                <c:pt idx="171">
                  <c:v>1.492295E6</c:v>
                </c:pt>
                <c:pt idx="172">
                  <c:v>1.626785E6</c:v>
                </c:pt>
                <c:pt idx="173">
                  <c:v>2.143503E6</c:v>
                </c:pt>
                <c:pt idx="174">
                  <c:v>2.096592E6</c:v>
                </c:pt>
                <c:pt idx="175">
                  <c:v>2.613935E6</c:v>
                </c:pt>
                <c:pt idx="176">
                  <c:v>2.448192E6</c:v>
                </c:pt>
                <c:pt idx="177">
                  <c:v>2.048726E6</c:v>
                </c:pt>
                <c:pt idx="178">
                  <c:v>2.378711E6</c:v>
                </c:pt>
                <c:pt idx="179">
                  <c:v>2.089714E6</c:v>
                </c:pt>
                <c:pt idx="180">
                  <c:v>2.065254E6</c:v>
                </c:pt>
                <c:pt idx="181">
                  <c:v>2.022838E6</c:v>
                </c:pt>
                <c:pt idx="182">
                  <c:v>1.958823E6</c:v>
                </c:pt>
                <c:pt idx="189">
                  <c:v>1.042891E6</c:v>
                </c:pt>
                <c:pt idx="190">
                  <c:v>1.013647E6</c:v>
                </c:pt>
                <c:pt idx="191">
                  <c:v>1.012613E6</c:v>
                </c:pt>
                <c:pt idx="192">
                  <c:v>935508.0</c:v>
                </c:pt>
                <c:pt idx="193">
                  <c:v>785719.0</c:v>
                </c:pt>
                <c:pt idx="194">
                  <c:v>1.218188E6</c:v>
                </c:pt>
                <c:pt idx="195">
                  <c:v>942406.0</c:v>
                </c:pt>
                <c:pt idx="196">
                  <c:v>1.033703E6</c:v>
                </c:pt>
                <c:pt idx="197">
                  <c:v>929225.0</c:v>
                </c:pt>
                <c:pt idx="198">
                  <c:v>1.012575E6</c:v>
                </c:pt>
                <c:pt idx="199">
                  <c:v>922523.0</c:v>
                </c:pt>
                <c:pt idx="200">
                  <c:v>1.064149E6</c:v>
                </c:pt>
                <c:pt idx="201">
                  <c:v>857407.0</c:v>
                </c:pt>
                <c:pt idx="202">
                  <c:v>1.057871E6</c:v>
                </c:pt>
                <c:pt idx="203">
                  <c:v>1.18018E6</c:v>
                </c:pt>
                <c:pt idx="204">
                  <c:v>909246.0</c:v>
                </c:pt>
                <c:pt idx="205">
                  <c:v>942247.0</c:v>
                </c:pt>
                <c:pt idx="206">
                  <c:v>1.1738E6</c:v>
                </c:pt>
                <c:pt idx="207">
                  <c:v>879252.0</c:v>
                </c:pt>
                <c:pt idx="208">
                  <c:v>1.418552E6</c:v>
                </c:pt>
                <c:pt idx="209">
                  <c:v>1.263663E6</c:v>
                </c:pt>
                <c:pt idx="210">
                  <c:v>1.118487E6</c:v>
                </c:pt>
                <c:pt idx="211">
                  <c:v>1.191666E6</c:v>
                </c:pt>
                <c:pt idx="212">
                  <c:v>1.248844E6</c:v>
                </c:pt>
                <c:pt idx="213">
                  <c:v>1.158531E6</c:v>
                </c:pt>
                <c:pt idx="214">
                  <c:v>967138.0</c:v>
                </c:pt>
                <c:pt idx="215">
                  <c:v>1.218168E6</c:v>
                </c:pt>
                <c:pt idx="216">
                  <c:v>941149.0</c:v>
                </c:pt>
                <c:pt idx="217">
                  <c:v>1.241801E6</c:v>
                </c:pt>
                <c:pt idx="218">
                  <c:v>1.274699E6</c:v>
                </c:pt>
                <c:pt idx="219">
                  <c:v>1.587671E6</c:v>
                </c:pt>
                <c:pt idx="220">
                  <c:v>1.581307E6</c:v>
                </c:pt>
                <c:pt idx="221">
                  <c:v>1.570396E6</c:v>
                </c:pt>
                <c:pt idx="222">
                  <c:v>1.248088E6</c:v>
                </c:pt>
                <c:pt idx="223">
                  <c:v>1.38493E6</c:v>
                </c:pt>
                <c:pt idx="224">
                  <c:v>1.166555E6</c:v>
                </c:pt>
                <c:pt idx="225">
                  <c:v>1.827875E6</c:v>
                </c:pt>
                <c:pt idx="226">
                  <c:v>1.167283E6</c:v>
                </c:pt>
                <c:pt idx="227">
                  <c:v>1.248664E6</c:v>
                </c:pt>
                <c:pt idx="228">
                  <c:v>882527.0</c:v>
                </c:pt>
                <c:pt idx="229">
                  <c:v>1.073357E6</c:v>
                </c:pt>
                <c:pt idx="230">
                  <c:v>1.706161E6</c:v>
                </c:pt>
                <c:pt idx="231">
                  <c:v>1.233898E6</c:v>
                </c:pt>
                <c:pt idx="232">
                  <c:v>1.537412E6</c:v>
                </c:pt>
                <c:pt idx="233">
                  <c:v>1.292004E6</c:v>
                </c:pt>
                <c:pt idx="234">
                  <c:v>846052.0</c:v>
                </c:pt>
                <c:pt idx="235">
                  <c:v>816063.0</c:v>
                </c:pt>
                <c:pt idx="236">
                  <c:v>1.004315E6</c:v>
                </c:pt>
                <c:pt idx="237">
                  <c:v>1.070589E6</c:v>
                </c:pt>
                <c:pt idx="238">
                  <c:v>1.31328E6</c:v>
                </c:pt>
                <c:pt idx="239">
                  <c:v>1.085253E6</c:v>
                </c:pt>
                <c:pt idx="240">
                  <c:v>700486.0</c:v>
                </c:pt>
                <c:pt idx="241">
                  <c:v>957141.0</c:v>
                </c:pt>
                <c:pt idx="242">
                  <c:v>1.010758E6</c:v>
                </c:pt>
                <c:pt idx="243">
                  <c:v>1.279763E6</c:v>
                </c:pt>
                <c:pt idx="244">
                  <c:v>1.347483E6</c:v>
                </c:pt>
                <c:pt idx="245">
                  <c:v>1.686596E6</c:v>
                </c:pt>
                <c:pt idx="246">
                  <c:v>1.408622E6</c:v>
                </c:pt>
                <c:pt idx="247">
                  <c:v>1.384765E6</c:v>
                </c:pt>
                <c:pt idx="248">
                  <c:v>1.25929E6</c:v>
                </c:pt>
                <c:pt idx="249">
                  <c:v>1.196138E6</c:v>
                </c:pt>
                <c:pt idx="250">
                  <c:v>1.257326E6</c:v>
                </c:pt>
                <c:pt idx="251">
                  <c:v>1.186632E6</c:v>
                </c:pt>
                <c:pt idx="252">
                  <c:v>1.036928E6</c:v>
                </c:pt>
                <c:pt idx="253">
                  <c:v>909860.0</c:v>
                </c:pt>
                <c:pt idx="254">
                  <c:v>1.60324E6</c:v>
                </c:pt>
                <c:pt idx="255">
                  <c:v>1.118864E6</c:v>
                </c:pt>
                <c:pt idx="256">
                  <c:v>1.107311E6</c:v>
                </c:pt>
                <c:pt idx="257">
                  <c:v>1.625491E6</c:v>
                </c:pt>
                <c:pt idx="258">
                  <c:v>1.013194E6</c:v>
                </c:pt>
                <c:pt idx="259">
                  <c:v>1.043654E6</c:v>
                </c:pt>
                <c:pt idx="260">
                  <c:v>1.334438E6</c:v>
                </c:pt>
                <c:pt idx="261">
                  <c:v>1.311722E6</c:v>
                </c:pt>
                <c:pt idx="262">
                  <c:v>894446.0</c:v>
                </c:pt>
                <c:pt idx="263">
                  <c:v>1.010365E6</c:v>
                </c:pt>
                <c:pt idx="264">
                  <c:v>692392.0</c:v>
                </c:pt>
                <c:pt idx="265">
                  <c:v>811487.0</c:v>
                </c:pt>
                <c:pt idx="266">
                  <c:v>1.580258E6</c:v>
                </c:pt>
                <c:pt idx="267">
                  <c:v>1.393723E6</c:v>
                </c:pt>
                <c:pt idx="268">
                  <c:v>1.743022E6</c:v>
                </c:pt>
                <c:pt idx="269">
                  <c:v>1.602908E6</c:v>
                </c:pt>
                <c:pt idx="270">
                  <c:v>1.018459E6</c:v>
                </c:pt>
                <c:pt idx="271">
                  <c:v>1.238279E6</c:v>
                </c:pt>
                <c:pt idx="272">
                  <c:v>1.253392E6</c:v>
                </c:pt>
                <c:pt idx="273">
                  <c:v>1.108342E6</c:v>
                </c:pt>
                <c:pt idx="274">
                  <c:v>1.180779E6</c:v>
                </c:pt>
                <c:pt idx="275">
                  <c:v>1.292775E6</c:v>
                </c:pt>
                <c:pt idx="276">
                  <c:v>991617.0</c:v>
                </c:pt>
                <c:pt idx="277">
                  <c:v>1.357067E6</c:v>
                </c:pt>
                <c:pt idx="278">
                  <c:v>1.491226E6</c:v>
                </c:pt>
                <c:pt idx="279">
                  <c:v>1.312977E6</c:v>
                </c:pt>
                <c:pt idx="280">
                  <c:v>1.701296E6</c:v>
                </c:pt>
                <c:pt idx="281">
                  <c:v>1.569316E6</c:v>
                </c:pt>
                <c:pt idx="282">
                  <c:v>1.318819E6</c:v>
                </c:pt>
                <c:pt idx="283">
                  <c:v>1.474138E6</c:v>
                </c:pt>
                <c:pt idx="284">
                  <c:v>1.306194E6</c:v>
                </c:pt>
                <c:pt idx="285">
                  <c:v>1.51481E6</c:v>
                </c:pt>
                <c:pt idx="286">
                  <c:v>1.62294E6</c:v>
                </c:pt>
                <c:pt idx="287">
                  <c:v>1.381548E6</c:v>
                </c:pt>
                <c:pt idx="288">
                  <c:v>1.012893E6</c:v>
                </c:pt>
                <c:pt idx="289">
                  <c:v>1.032371E6</c:v>
                </c:pt>
                <c:pt idx="290">
                  <c:v>1.438826E6</c:v>
                </c:pt>
                <c:pt idx="291">
                  <c:v>1.677345E6</c:v>
                </c:pt>
                <c:pt idx="292">
                  <c:v>1.762052E6</c:v>
                </c:pt>
                <c:pt idx="293">
                  <c:v>2.30433E6</c:v>
                </c:pt>
                <c:pt idx="294">
                  <c:v>1.828259E6</c:v>
                </c:pt>
                <c:pt idx="295">
                  <c:v>1.806018E6</c:v>
                </c:pt>
                <c:pt idx="296">
                  <c:v>1.765807E6</c:v>
                </c:pt>
                <c:pt idx="297">
                  <c:v>1.890034E6</c:v>
                </c:pt>
                <c:pt idx="298">
                  <c:v>1.658112E6</c:v>
                </c:pt>
                <c:pt idx="299">
                  <c:v>2.225883E6</c:v>
                </c:pt>
                <c:pt idx="300">
                  <c:v>1.444774E6</c:v>
                </c:pt>
                <c:pt idx="301">
                  <c:v>1.672737E6</c:v>
                </c:pt>
                <c:pt idx="302">
                  <c:v>1.683301E6</c:v>
                </c:pt>
                <c:pt idx="303">
                  <c:v>2.153669E6</c:v>
                </c:pt>
                <c:pt idx="304">
                  <c:v>2.494703E6</c:v>
                </c:pt>
                <c:pt idx="305">
                  <c:v>2.9231E6</c:v>
                </c:pt>
                <c:pt idx="306">
                  <c:v>2.615911E6</c:v>
                </c:pt>
                <c:pt idx="307">
                  <c:v>2.459366E6</c:v>
                </c:pt>
                <c:pt idx="308">
                  <c:v>2.446219E6</c:v>
                </c:pt>
                <c:pt idx="309">
                  <c:v>2.676993E6</c:v>
                </c:pt>
                <c:pt idx="310">
                  <c:v>1.992999E6</c:v>
                </c:pt>
                <c:pt idx="311">
                  <c:v>2.39492E6</c:v>
                </c:pt>
                <c:pt idx="312">
                  <c:v>1.360922E6</c:v>
                </c:pt>
                <c:pt idx="313">
                  <c:v>1.732312E6</c:v>
                </c:pt>
                <c:pt idx="314">
                  <c:v>1.941347E6</c:v>
                </c:pt>
                <c:pt idx="315">
                  <c:v>1.695114E6</c:v>
                </c:pt>
                <c:pt idx="316">
                  <c:v>1.645165E6</c:v>
                </c:pt>
                <c:pt idx="317">
                  <c:v>1.895115E6</c:v>
                </c:pt>
                <c:pt idx="318">
                  <c:v>1.866935E6</c:v>
                </c:pt>
                <c:pt idx="319">
                  <c:v>2.111874E6</c:v>
                </c:pt>
                <c:pt idx="320">
                  <c:v>1.784021E6</c:v>
                </c:pt>
                <c:pt idx="321">
                  <c:v>1.730173E6</c:v>
                </c:pt>
                <c:pt idx="322">
                  <c:v>1.582971E6</c:v>
                </c:pt>
                <c:pt idx="323">
                  <c:v>1.723064E6</c:v>
                </c:pt>
                <c:pt idx="324">
                  <c:v>1.068538E6</c:v>
                </c:pt>
                <c:pt idx="325">
                  <c:v>1.312118E6</c:v>
                </c:pt>
                <c:pt idx="326">
                  <c:v>1.449024E6</c:v>
                </c:pt>
                <c:pt idx="327">
                  <c:v>2.439492E6</c:v>
                </c:pt>
                <c:pt idx="328">
                  <c:v>2.571487E6</c:v>
                </c:pt>
                <c:pt idx="329">
                  <c:v>2.591287E6</c:v>
                </c:pt>
                <c:pt idx="330">
                  <c:v>2.053084E6</c:v>
                </c:pt>
                <c:pt idx="331">
                  <c:v>2.079675E6</c:v>
                </c:pt>
                <c:pt idx="332">
                  <c:v>2.100245E6</c:v>
                </c:pt>
                <c:pt idx="333">
                  <c:v>1.77422E6</c:v>
                </c:pt>
                <c:pt idx="334">
                  <c:v>1.78461E6</c:v>
                </c:pt>
                <c:pt idx="335">
                  <c:v>2.312266E6</c:v>
                </c:pt>
                <c:pt idx="336">
                  <c:v>1.360922E6</c:v>
                </c:pt>
                <c:pt idx="337">
                  <c:v>1.732312E6</c:v>
                </c:pt>
                <c:pt idx="338">
                  <c:v>1.941347E6</c:v>
                </c:pt>
                <c:pt idx="339">
                  <c:v>1.695114E6</c:v>
                </c:pt>
                <c:pt idx="340">
                  <c:v>1.645165E6</c:v>
                </c:pt>
                <c:pt idx="341">
                  <c:v>1.895115E6</c:v>
                </c:pt>
                <c:pt idx="342">
                  <c:v>1.866935E6</c:v>
                </c:pt>
                <c:pt idx="343">
                  <c:v>2.111874E6</c:v>
                </c:pt>
                <c:pt idx="344">
                  <c:v>1.784021E6</c:v>
                </c:pt>
                <c:pt idx="345">
                  <c:v>1.730173E6</c:v>
                </c:pt>
                <c:pt idx="346">
                  <c:v>1.582971E6</c:v>
                </c:pt>
                <c:pt idx="347">
                  <c:v>1.723064E6</c:v>
                </c:pt>
                <c:pt idx="348">
                  <c:v>1.068538E6</c:v>
                </c:pt>
                <c:pt idx="349">
                  <c:v>1.312118E6</c:v>
                </c:pt>
                <c:pt idx="350">
                  <c:v>1.449024E6</c:v>
                </c:pt>
                <c:pt idx="351">
                  <c:v>2.439492E6</c:v>
                </c:pt>
                <c:pt idx="352">
                  <c:v>2.571487E6</c:v>
                </c:pt>
                <c:pt idx="353">
                  <c:v>2.591287E6</c:v>
                </c:pt>
                <c:pt idx="354">
                  <c:v>2.053084E6</c:v>
                </c:pt>
                <c:pt idx="355">
                  <c:v>2.079675E6</c:v>
                </c:pt>
                <c:pt idx="356">
                  <c:v>2.100245E6</c:v>
                </c:pt>
                <c:pt idx="357">
                  <c:v>1.77422E6</c:v>
                </c:pt>
                <c:pt idx="358">
                  <c:v>1.78461E6</c:v>
                </c:pt>
                <c:pt idx="359">
                  <c:v>2.312266E6</c:v>
                </c:pt>
                <c:pt idx="360">
                  <c:v>1.492295E6</c:v>
                </c:pt>
                <c:pt idx="361">
                  <c:v>1.626785E6</c:v>
                </c:pt>
                <c:pt idx="362">
                  <c:v>2.143503E6</c:v>
                </c:pt>
                <c:pt idx="363">
                  <c:v>2.096592E6</c:v>
                </c:pt>
                <c:pt idx="364">
                  <c:v>2.613935E6</c:v>
                </c:pt>
                <c:pt idx="365">
                  <c:v>2.448192E6</c:v>
                </c:pt>
                <c:pt idx="366">
                  <c:v>2.048726E6</c:v>
                </c:pt>
                <c:pt idx="367">
                  <c:v>2.378711E6</c:v>
                </c:pt>
                <c:pt idx="368">
                  <c:v>2.089714E6</c:v>
                </c:pt>
                <c:pt idx="369">
                  <c:v>2.065254E6</c:v>
                </c:pt>
                <c:pt idx="370">
                  <c:v>2.022838E6</c:v>
                </c:pt>
                <c:pt idx="371">
                  <c:v>1.958823E6</c:v>
                </c:pt>
              </c:numCache>
            </c:numRef>
          </c:xVal>
          <c:yVal>
            <c:numRef>
              <c:f>'Month S&amp;P'!$C$132:$C$320</c:f>
              <c:numCache>
                <c:formatCode>#,##0_);[Red]\(#,##0\)</c:formatCode>
                <c:ptCount val="189"/>
                <c:pt idx="0">
                  <c:v>109414.0</c:v>
                </c:pt>
                <c:pt idx="1">
                  <c:v>147427.0</c:v>
                </c:pt>
                <c:pt idx="2">
                  <c:v>8520.0</c:v>
                </c:pt>
                <c:pt idx="3">
                  <c:v>214483.0</c:v>
                </c:pt>
                <c:pt idx="4">
                  <c:v>-61164.0</c:v>
                </c:pt>
                <c:pt idx="5">
                  <c:v>253193.0</c:v>
                </c:pt>
                <c:pt idx="6">
                  <c:v>51239.0</c:v>
                </c:pt>
                <c:pt idx="7">
                  <c:v>149035.0</c:v>
                </c:pt>
                <c:pt idx="8">
                  <c:v>43197.0</c:v>
                </c:pt>
                <c:pt idx="9">
                  <c:v>180995.0</c:v>
                </c:pt>
                <c:pt idx="10">
                  <c:v>87008.0</c:v>
                </c:pt>
                <c:pt idx="11">
                  <c:v>166292.0</c:v>
                </c:pt>
                <c:pt idx="12">
                  <c:v>-64578.0</c:v>
                </c:pt>
                <c:pt idx="13">
                  <c:v>112491.0</c:v>
                </c:pt>
                <c:pt idx="14">
                  <c:v>-10286.0</c:v>
                </c:pt>
                <c:pt idx="15">
                  <c:v>87291.0</c:v>
                </c:pt>
                <c:pt idx="16">
                  <c:v>110829.0</c:v>
                </c:pt>
                <c:pt idx="17">
                  <c:v>277182.0</c:v>
                </c:pt>
                <c:pt idx="18">
                  <c:v>-26536.0</c:v>
                </c:pt>
                <c:pt idx="19">
                  <c:v>457698.0</c:v>
                </c:pt>
                <c:pt idx="20">
                  <c:v>249770.0</c:v>
                </c:pt>
                <c:pt idx="21">
                  <c:v>142412.0</c:v>
                </c:pt>
                <c:pt idx="22">
                  <c:v>157284.0</c:v>
                </c:pt>
                <c:pt idx="23">
                  <c:v>250762.0</c:v>
                </c:pt>
                <c:pt idx="24">
                  <c:v>179501.0</c:v>
                </c:pt>
                <c:pt idx="25">
                  <c:v>-51961.0</c:v>
                </c:pt>
                <c:pt idx="26">
                  <c:v>26466.0</c:v>
                </c:pt>
                <c:pt idx="27">
                  <c:v>64077.0</c:v>
                </c:pt>
                <c:pt idx="28">
                  <c:v>276426.0</c:v>
                </c:pt>
                <c:pt idx="29">
                  <c:v>254206.0</c:v>
                </c:pt>
                <c:pt idx="30">
                  <c:v>420335.0</c:v>
                </c:pt>
                <c:pt idx="31">
                  <c:v>403902.0</c:v>
                </c:pt>
                <c:pt idx="32">
                  <c:v>416473.0</c:v>
                </c:pt>
                <c:pt idx="33">
                  <c:v>24430.0</c:v>
                </c:pt>
                <c:pt idx="34">
                  <c:v>195482.0</c:v>
                </c:pt>
                <c:pt idx="35">
                  <c:v>115421.0</c:v>
                </c:pt>
                <c:pt idx="36">
                  <c:v>595746.0</c:v>
                </c:pt>
                <c:pt idx="37">
                  <c:v>52911.0</c:v>
                </c:pt>
                <c:pt idx="38">
                  <c:v>-179692.0</c:v>
                </c:pt>
                <c:pt idx="39">
                  <c:v>-69909.0</c:v>
                </c:pt>
                <c:pt idx="40">
                  <c:v>32275.0</c:v>
                </c:pt>
                <c:pt idx="41">
                  <c:v>523236.0</c:v>
                </c:pt>
                <c:pt idx="42">
                  <c:v>16764.0</c:v>
                </c:pt>
                <c:pt idx="43">
                  <c:v>407964.0</c:v>
                </c:pt>
                <c:pt idx="44">
                  <c:v>64840.0</c:v>
                </c:pt>
                <c:pt idx="45">
                  <c:v>-233680.0</c:v>
                </c:pt>
                <c:pt idx="46">
                  <c:v>-251911.0</c:v>
                </c:pt>
                <c:pt idx="47">
                  <c:v>5651.0</c:v>
                </c:pt>
                <c:pt idx="48">
                  <c:v>-62298.0</c:v>
                </c:pt>
                <c:pt idx="49">
                  <c:v>167348.0</c:v>
                </c:pt>
                <c:pt idx="50">
                  <c:v>-71978.0</c:v>
                </c:pt>
                <c:pt idx="51">
                  <c:v>-177220.0</c:v>
                </c:pt>
                <c:pt idx="52">
                  <c:v>28482.0</c:v>
                </c:pt>
                <c:pt idx="53">
                  <c:v>-8061.0</c:v>
                </c:pt>
                <c:pt idx="54">
                  <c:v>215945.0</c:v>
                </c:pt>
                <c:pt idx="55">
                  <c:v>175373.0</c:v>
                </c:pt>
                <c:pt idx="56">
                  <c:v>454972.0</c:v>
                </c:pt>
                <c:pt idx="57">
                  <c:v>474.0</c:v>
                </c:pt>
                <c:pt idx="58">
                  <c:v>231979.0</c:v>
                </c:pt>
                <c:pt idx="59">
                  <c:v>229830.0</c:v>
                </c:pt>
                <c:pt idx="60">
                  <c:v>-38537.0</c:v>
                </c:pt>
                <c:pt idx="61">
                  <c:v>118859.0</c:v>
                </c:pt>
                <c:pt idx="62">
                  <c:v>-280000.0</c:v>
                </c:pt>
                <c:pt idx="63">
                  <c:v>-52970.0</c:v>
                </c:pt>
                <c:pt idx="64">
                  <c:v>-220289.0</c:v>
                </c:pt>
                <c:pt idx="65">
                  <c:v>324211.0</c:v>
                </c:pt>
                <c:pt idx="66">
                  <c:v>-123434.0</c:v>
                </c:pt>
                <c:pt idx="67">
                  <c:v>-121704.0</c:v>
                </c:pt>
                <c:pt idx="68">
                  <c:v>381530.0</c:v>
                </c:pt>
                <c:pt idx="69">
                  <c:v>-372710.0</c:v>
                </c:pt>
                <c:pt idx="70">
                  <c:v>-126302.0</c:v>
                </c:pt>
                <c:pt idx="71">
                  <c:v>240940.0</c:v>
                </c:pt>
                <c:pt idx="72">
                  <c:v>184135.0</c:v>
                </c:pt>
                <c:pt idx="73">
                  <c:v>-147743.0</c:v>
                </c:pt>
                <c:pt idx="74">
                  <c:v>-218758.0</c:v>
                </c:pt>
                <c:pt idx="75">
                  <c:v>-290236.0</c:v>
                </c:pt>
                <c:pt idx="76">
                  <c:v>-266960.0</c:v>
                </c:pt>
                <c:pt idx="77">
                  <c:v>434026.0</c:v>
                </c:pt>
                <c:pt idx="78">
                  <c:v>164609.0</c:v>
                </c:pt>
                <c:pt idx="79">
                  <c:v>446055.0</c:v>
                </c:pt>
                <c:pt idx="80">
                  <c:v>194403.0</c:v>
                </c:pt>
                <c:pt idx="81">
                  <c:v>-349032.0</c:v>
                </c:pt>
                <c:pt idx="82">
                  <c:v>44364.0</c:v>
                </c:pt>
                <c:pt idx="83">
                  <c:v>76214.0</c:v>
                </c:pt>
                <c:pt idx="84">
                  <c:v>-88677.0</c:v>
                </c:pt>
                <c:pt idx="85">
                  <c:v>-77594.0</c:v>
                </c:pt>
                <c:pt idx="86">
                  <c:v>-121470.0</c:v>
                </c:pt>
                <c:pt idx="87">
                  <c:v>-69772.0</c:v>
                </c:pt>
                <c:pt idx="88">
                  <c:v>79586.0</c:v>
                </c:pt>
                <c:pt idx="89">
                  <c:v>-1121.0</c:v>
                </c:pt>
                <c:pt idx="90">
                  <c:v>9885.0</c:v>
                </c:pt>
                <c:pt idx="91">
                  <c:v>217715.0</c:v>
                </c:pt>
                <c:pt idx="92">
                  <c:v>-26244.0</c:v>
                </c:pt>
                <c:pt idx="93">
                  <c:v>-110288.0</c:v>
                </c:pt>
                <c:pt idx="94">
                  <c:v>-102358.0</c:v>
                </c:pt>
                <c:pt idx="95">
                  <c:v>-40948.0</c:v>
                </c:pt>
                <c:pt idx="96">
                  <c:v>102350.0</c:v>
                </c:pt>
                <c:pt idx="97">
                  <c:v>228778.0</c:v>
                </c:pt>
                <c:pt idx="98">
                  <c:v>-211179.0</c:v>
                </c:pt>
                <c:pt idx="99">
                  <c:v>-227970.0</c:v>
                </c:pt>
                <c:pt idx="100">
                  <c:v>-268790.0</c:v>
                </c:pt>
                <c:pt idx="101">
                  <c:v>26287.0</c:v>
                </c:pt>
                <c:pt idx="102">
                  <c:v>174418.0</c:v>
                </c:pt>
                <c:pt idx="103">
                  <c:v>119169.0</c:v>
                </c:pt>
                <c:pt idx="104">
                  <c:v>748705.0</c:v>
                </c:pt>
                <c:pt idx="105">
                  <c:v>230657.0</c:v>
                </c:pt>
                <c:pt idx="106">
                  <c:v>114891.0</c:v>
                </c:pt>
                <c:pt idx="107">
                  <c:v>170534.0</c:v>
                </c:pt>
                <c:pt idx="108">
                  <c:v>350656.0</c:v>
                </c:pt>
                <c:pt idx="109">
                  <c:v>90307.0</c:v>
                </c:pt>
                <c:pt idx="110">
                  <c:v>-57392.0</c:v>
                </c:pt>
                <c:pt idx="111">
                  <c:v>82653.0</c:v>
                </c:pt>
                <c:pt idx="112">
                  <c:v>160431.0</c:v>
                </c:pt>
                <c:pt idx="113">
                  <c:v>154277.0</c:v>
                </c:pt>
                <c:pt idx="114">
                  <c:v>576385.0</c:v>
                </c:pt>
                <c:pt idx="115">
                  <c:v>633258.0</c:v>
                </c:pt>
                <c:pt idx="116">
                  <c:v>726588.0</c:v>
                </c:pt>
                <c:pt idx="117">
                  <c:v>576314.0</c:v>
                </c:pt>
                <c:pt idx="118">
                  <c:v>433317.0</c:v>
                </c:pt>
                <c:pt idx="119">
                  <c:v>503443.0</c:v>
                </c:pt>
                <c:pt idx="120">
                  <c:v>637324.0</c:v>
                </c:pt>
                <c:pt idx="121">
                  <c:v>4576.0</c:v>
                </c:pt>
                <c:pt idx="122">
                  <c:v>-120778.0</c:v>
                </c:pt>
                <c:pt idx="123">
                  <c:v>-156557.0</c:v>
                </c:pt>
                <c:pt idx="124">
                  <c:v>96262.0</c:v>
                </c:pt>
                <c:pt idx="125">
                  <c:v>365145.0</c:v>
                </c:pt>
                <c:pt idx="126">
                  <c:v>73987.0</c:v>
                </c:pt>
                <c:pt idx="127">
                  <c:v>-219974.0</c:v>
                </c:pt>
                <c:pt idx="128">
                  <c:v>145102.0</c:v>
                </c:pt>
                <c:pt idx="129">
                  <c:v>140017.0</c:v>
                </c:pt>
                <c:pt idx="130">
                  <c:v>433882.0</c:v>
                </c:pt>
                <c:pt idx="131">
                  <c:v>-106.0</c:v>
                </c:pt>
                <c:pt idx="132">
                  <c:v>-101578.0</c:v>
                </c:pt>
                <c:pt idx="133">
                  <c:v>-28807.0</c:v>
                </c:pt>
                <c:pt idx="134">
                  <c:v>-201599.0</c:v>
                </c:pt>
                <c:pt idx="135">
                  <c:v>-376885.0</c:v>
                </c:pt>
                <c:pt idx="136">
                  <c:v>-264312.0</c:v>
                </c:pt>
                <c:pt idx="137">
                  <c:v>-299192.0</c:v>
                </c:pt>
                <c:pt idx="138">
                  <c:v>598107.0</c:v>
                </c:pt>
                <c:pt idx="139">
                  <c:v>598853.0</c:v>
                </c:pt>
                <c:pt idx="140">
                  <c:v>699684.0</c:v>
                </c:pt>
                <c:pt idx="141">
                  <c:v>102285.0</c:v>
                </c:pt>
                <c:pt idx="142">
                  <c:v>421137.0</c:v>
                </c:pt>
                <c:pt idx="143">
                  <c:v>262188.0</c:v>
                </c:pt>
                <c:pt idx="144">
                  <c:v>-25329.0</c:v>
                </c:pt>
                <c:pt idx="145">
                  <c:v>82905.0</c:v>
                </c:pt>
                <c:pt idx="146">
                  <c:v>137712.0</c:v>
                </c:pt>
                <c:pt idx="147">
                  <c:v>-39094.0</c:v>
                </c:pt>
                <c:pt idx="148">
                  <c:v>12074.0</c:v>
                </c:pt>
                <c:pt idx="149">
                  <c:v>141549.0</c:v>
                </c:pt>
                <c:pt idx="150">
                  <c:v>266189.0</c:v>
                </c:pt>
                <c:pt idx="151">
                  <c:v>559632.0</c:v>
                </c:pt>
                <c:pt idx="152">
                  <c:v>425432.0</c:v>
                </c:pt>
                <c:pt idx="153">
                  <c:v>156597.0</c:v>
                </c:pt>
                <c:pt idx="154">
                  <c:v>598697.0</c:v>
                </c:pt>
                <c:pt idx="155">
                  <c:v>241276.0</c:v>
                </c:pt>
                <c:pt idx="156">
                  <c:v>128161.0</c:v>
                </c:pt>
                <c:pt idx="157">
                  <c:v>133417.0</c:v>
                </c:pt>
                <c:pt idx="158">
                  <c:v>-678217.0</c:v>
                </c:pt>
                <c:pt idx="159">
                  <c:v>-270510.0</c:v>
                </c:pt>
                <c:pt idx="160">
                  <c:v>-260145.0</c:v>
                </c:pt>
                <c:pt idx="161">
                  <c:v>-347547.0</c:v>
                </c:pt>
                <c:pt idx="162">
                  <c:v>-268713.0</c:v>
                </c:pt>
                <c:pt idx="163">
                  <c:v>429860.0</c:v>
                </c:pt>
                <c:pt idx="164">
                  <c:v>218642.0</c:v>
                </c:pt>
                <c:pt idx="165">
                  <c:v>10771.0</c:v>
                </c:pt>
                <c:pt idx="166">
                  <c:v>400088.0</c:v>
                </c:pt>
                <c:pt idx="167">
                  <c:v>-244827.0</c:v>
                </c:pt>
                <c:pt idx="168">
                  <c:v>324540.0</c:v>
                </c:pt>
                <c:pt idx="169">
                  <c:v>-130875.0</c:v>
                </c:pt>
                <c:pt idx="170">
                  <c:v>196114.0</c:v>
                </c:pt>
                <c:pt idx="171">
                  <c:v>-156870.0</c:v>
                </c:pt>
                <c:pt idx="172">
                  <c:v>-115365.0</c:v>
                </c:pt>
                <c:pt idx="173">
                  <c:v>-58604.0</c:v>
                </c:pt>
                <c:pt idx="174">
                  <c:v>186018.0</c:v>
                </c:pt>
                <c:pt idx="175">
                  <c:v>-141490.0</c:v>
                </c:pt>
                <c:pt idx="176">
                  <c:v>63115.0</c:v>
                </c:pt>
                <c:pt idx="177">
                  <c:v>57801.0</c:v>
                </c:pt>
                <c:pt idx="178">
                  <c:v>15943.0</c:v>
                </c:pt>
                <c:pt idx="179">
                  <c:v>496763.0</c:v>
                </c:pt>
                <c:pt idx="180">
                  <c:v>225816.0</c:v>
                </c:pt>
                <c:pt idx="181">
                  <c:v>0.0</c:v>
                </c:pt>
                <c:pt idx="182">
                  <c:v>0.0</c:v>
                </c:pt>
                <c:pt idx="185">
                  <c:v>62840.77528076923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8434648"/>
        <c:axId val="-2058450280"/>
      </c:scatterChart>
      <c:valAx>
        <c:axId val="-2058434648"/>
        <c:scaling>
          <c:orientation val="minMax"/>
          <c:min val="7000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Sales</a:t>
                </a:r>
              </a:p>
            </c:rich>
          </c:tx>
          <c:layout>
            <c:manualLayout>
              <c:xMode val="edge"/>
              <c:yMode val="edge"/>
              <c:x val="0.456296296296296"/>
              <c:y val="0.9346405228758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450280"/>
        <c:crosses val="autoZero"/>
        <c:crossBetween val="midCat"/>
      </c:valAx>
      <c:valAx>
        <c:axId val="-2058450280"/>
        <c:scaling>
          <c:orientation val="minMax"/>
          <c:max val="800000.0"/>
          <c:min val="-7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Profit</a:t>
                </a:r>
              </a:p>
            </c:rich>
          </c:tx>
          <c:layout>
            <c:manualLayout>
              <c:xMode val="edge"/>
              <c:yMode val="edge"/>
              <c:x val="0.0"/>
              <c:y val="0.405228758169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434648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9933" mc:Ignorable="a14" a14:legacySpreadsheetColorIndex="50"/>
            </a:gs>
            <a:gs pos="100000">
              <a:srgbClr xmlns:mc="http://schemas.openxmlformats.org/markup-compatibility/2006" xmlns:a14="http://schemas.microsoft.com/office/drawing/2010/main" val="4EA74E" mc:Ignorable="a14" a14:legacySpreadsheetColorIndex="50">
                <a:gamma/>
                <a:tint val="86667"/>
                <a:invGamma/>
              </a:srgbClr>
            </a:gs>
          </a:gsLst>
          <a:lin ang="5400000" scaled="1"/>
        </a:gradFill>
        <a:ln w="381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Monthly Profit SPC Chart with Trend</a:t>
            </a:r>
          </a:p>
        </c:rich>
      </c:tx>
      <c:layout>
        <c:manualLayout>
          <c:xMode val="edge"/>
          <c:yMode val="edge"/>
          <c:x val="0.315555555555555"/>
          <c:y val="0.02077922077922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7037037037"/>
          <c:y val="0.145454545454545"/>
          <c:w val="0.786666666666667"/>
          <c:h val="0.68831168831168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'Month S&amp;P'!$A$132:$A$329</c:f>
              <c:numCache>
                <c:formatCode>mmm\-yy</c:formatCode>
                <c:ptCount val="198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('Month S&amp;P'!$C$132:$C$329,'Month S&amp;P'!$L$290:$L$329)</c:f>
              <c:numCache>
                <c:formatCode>#,##0_);[Red]\(#,##0\)</c:formatCode>
                <c:ptCount val="238"/>
                <c:pt idx="0">
                  <c:v>109414.0</c:v>
                </c:pt>
                <c:pt idx="1">
                  <c:v>147427.0</c:v>
                </c:pt>
                <c:pt idx="2">
                  <c:v>8520.0</c:v>
                </c:pt>
                <c:pt idx="3">
                  <c:v>214483.0</c:v>
                </c:pt>
                <c:pt idx="4">
                  <c:v>-61164.0</c:v>
                </c:pt>
                <c:pt idx="5">
                  <c:v>253193.0</c:v>
                </c:pt>
                <c:pt idx="6">
                  <c:v>51239.0</c:v>
                </c:pt>
                <c:pt idx="7">
                  <c:v>149035.0</c:v>
                </c:pt>
                <c:pt idx="8">
                  <c:v>43197.0</c:v>
                </c:pt>
                <c:pt idx="9">
                  <c:v>180995.0</c:v>
                </c:pt>
                <c:pt idx="10">
                  <c:v>87008.0</c:v>
                </c:pt>
                <c:pt idx="11">
                  <c:v>166292.0</c:v>
                </c:pt>
                <c:pt idx="12">
                  <c:v>-64578.0</c:v>
                </c:pt>
                <c:pt idx="13">
                  <c:v>112491.0</c:v>
                </c:pt>
                <c:pt idx="14">
                  <c:v>-10286.0</c:v>
                </c:pt>
                <c:pt idx="15">
                  <c:v>87291.0</c:v>
                </c:pt>
                <c:pt idx="16">
                  <c:v>110829.0</c:v>
                </c:pt>
                <c:pt idx="17">
                  <c:v>277182.0</c:v>
                </c:pt>
                <c:pt idx="18">
                  <c:v>-26536.0</c:v>
                </c:pt>
                <c:pt idx="19">
                  <c:v>457698.0</c:v>
                </c:pt>
                <c:pt idx="20">
                  <c:v>249770.0</c:v>
                </c:pt>
                <c:pt idx="21">
                  <c:v>142412.0</c:v>
                </c:pt>
                <c:pt idx="22">
                  <c:v>157284.0</c:v>
                </c:pt>
                <c:pt idx="23">
                  <c:v>250762.0</c:v>
                </c:pt>
                <c:pt idx="24">
                  <c:v>179501.0</c:v>
                </c:pt>
                <c:pt idx="25">
                  <c:v>-51961.0</c:v>
                </c:pt>
                <c:pt idx="26">
                  <c:v>26466.0</c:v>
                </c:pt>
                <c:pt idx="27">
                  <c:v>64077.0</c:v>
                </c:pt>
                <c:pt idx="28">
                  <c:v>276426.0</c:v>
                </c:pt>
                <c:pt idx="29">
                  <c:v>254206.0</c:v>
                </c:pt>
                <c:pt idx="30">
                  <c:v>420335.0</c:v>
                </c:pt>
                <c:pt idx="31">
                  <c:v>403902.0</c:v>
                </c:pt>
                <c:pt idx="32">
                  <c:v>416473.0</c:v>
                </c:pt>
                <c:pt idx="33">
                  <c:v>24430.0</c:v>
                </c:pt>
                <c:pt idx="34">
                  <c:v>195482.0</c:v>
                </c:pt>
                <c:pt idx="35">
                  <c:v>115421.0</c:v>
                </c:pt>
                <c:pt idx="36">
                  <c:v>595746.0</c:v>
                </c:pt>
                <c:pt idx="37">
                  <c:v>52911.0</c:v>
                </c:pt>
                <c:pt idx="38">
                  <c:v>-179692.0</c:v>
                </c:pt>
                <c:pt idx="39">
                  <c:v>-69909.0</c:v>
                </c:pt>
                <c:pt idx="40">
                  <c:v>32275.0</c:v>
                </c:pt>
                <c:pt idx="41">
                  <c:v>523236.0</c:v>
                </c:pt>
                <c:pt idx="42">
                  <c:v>16764.0</c:v>
                </c:pt>
                <c:pt idx="43">
                  <c:v>407964.0</c:v>
                </c:pt>
                <c:pt idx="44">
                  <c:v>64840.0</c:v>
                </c:pt>
                <c:pt idx="45">
                  <c:v>-233680.0</c:v>
                </c:pt>
                <c:pt idx="46">
                  <c:v>-251911.0</c:v>
                </c:pt>
                <c:pt idx="47">
                  <c:v>5651.0</c:v>
                </c:pt>
                <c:pt idx="48">
                  <c:v>-62298.0</c:v>
                </c:pt>
                <c:pt idx="49">
                  <c:v>167348.0</c:v>
                </c:pt>
                <c:pt idx="50">
                  <c:v>-71978.0</c:v>
                </c:pt>
                <c:pt idx="51">
                  <c:v>-177220.0</c:v>
                </c:pt>
                <c:pt idx="52">
                  <c:v>28482.0</c:v>
                </c:pt>
                <c:pt idx="53">
                  <c:v>-8061.0</c:v>
                </c:pt>
                <c:pt idx="54">
                  <c:v>215945.0</c:v>
                </c:pt>
                <c:pt idx="55">
                  <c:v>175373.0</c:v>
                </c:pt>
                <c:pt idx="56">
                  <c:v>454972.0</c:v>
                </c:pt>
                <c:pt idx="57">
                  <c:v>474.0</c:v>
                </c:pt>
                <c:pt idx="58">
                  <c:v>231979.0</c:v>
                </c:pt>
                <c:pt idx="59">
                  <c:v>229830.0</c:v>
                </c:pt>
                <c:pt idx="60">
                  <c:v>-38537.0</c:v>
                </c:pt>
                <c:pt idx="61">
                  <c:v>118859.0</c:v>
                </c:pt>
                <c:pt idx="62">
                  <c:v>-280000.0</c:v>
                </c:pt>
                <c:pt idx="63">
                  <c:v>-52970.0</c:v>
                </c:pt>
                <c:pt idx="64">
                  <c:v>-220289.0</c:v>
                </c:pt>
                <c:pt idx="65">
                  <c:v>324211.0</c:v>
                </c:pt>
                <c:pt idx="66">
                  <c:v>-123434.0</c:v>
                </c:pt>
                <c:pt idx="67">
                  <c:v>-121704.0</c:v>
                </c:pt>
                <c:pt idx="68">
                  <c:v>381530.0</c:v>
                </c:pt>
                <c:pt idx="69">
                  <c:v>-372710.0</c:v>
                </c:pt>
                <c:pt idx="70">
                  <c:v>-126302.0</c:v>
                </c:pt>
                <c:pt idx="71">
                  <c:v>240940.0</c:v>
                </c:pt>
                <c:pt idx="72">
                  <c:v>184135.0</c:v>
                </c:pt>
                <c:pt idx="73">
                  <c:v>-147743.0</c:v>
                </c:pt>
                <c:pt idx="74">
                  <c:v>-218758.0</c:v>
                </c:pt>
                <c:pt idx="75">
                  <c:v>-290236.0</c:v>
                </c:pt>
                <c:pt idx="76">
                  <c:v>-266960.0</c:v>
                </c:pt>
                <c:pt idx="77">
                  <c:v>434026.0</c:v>
                </c:pt>
                <c:pt idx="78">
                  <c:v>164609.0</c:v>
                </c:pt>
                <c:pt idx="79">
                  <c:v>446055.0</c:v>
                </c:pt>
                <c:pt idx="80">
                  <c:v>194403.0</c:v>
                </c:pt>
                <c:pt idx="81">
                  <c:v>-349032.0</c:v>
                </c:pt>
                <c:pt idx="82">
                  <c:v>44364.0</c:v>
                </c:pt>
                <c:pt idx="83">
                  <c:v>76214.0</c:v>
                </c:pt>
                <c:pt idx="84">
                  <c:v>-88677.0</c:v>
                </c:pt>
                <c:pt idx="85">
                  <c:v>-77594.0</c:v>
                </c:pt>
                <c:pt idx="86">
                  <c:v>-121470.0</c:v>
                </c:pt>
                <c:pt idx="87">
                  <c:v>-69772.0</c:v>
                </c:pt>
                <c:pt idx="88">
                  <c:v>79586.0</c:v>
                </c:pt>
                <c:pt idx="89">
                  <c:v>-1121.0</c:v>
                </c:pt>
                <c:pt idx="90">
                  <c:v>9885.0</c:v>
                </c:pt>
                <c:pt idx="91">
                  <c:v>217715.0</c:v>
                </c:pt>
                <c:pt idx="92">
                  <c:v>-26244.0</c:v>
                </c:pt>
                <c:pt idx="93">
                  <c:v>-110288.0</c:v>
                </c:pt>
                <c:pt idx="94">
                  <c:v>-102358.0</c:v>
                </c:pt>
                <c:pt idx="95">
                  <c:v>-40948.0</c:v>
                </c:pt>
                <c:pt idx="96">
                  <c:v>102350.0</c:v>
                </c:pt>
                <c:pt idx="97">
                  <c:v>228778.0</c:v>
                </c:pt>
                <c:pt idx="98">
                  <c:v>-211179.0</c:v>
                </c:pt>
                <c:pt idx="99">
                  <c:v>-227970.0</c:v>
                </c:pt>
                <c:pt idx="100">
                  <c:v>-268790.0</c:v>
                </c:pt>
                <c:pt idx="101">
                  <c:v>26287.0</c:v>
                </c:pt>
                <c:pt idx="102">
                  <c:v>174418.0</c:v>
                </c:pt>
                <c:pt idx="103">
                  <c:v>119169.0</c:v>
                </c:pt>
                <c:pt idx="104">
                  <c:v>748705.0</c:v>
                </c:pt>
                <c:pt idx="105">
                  <c:v>230657.0</c:v>
                </c:pt>
                <c:pt idx="106">
                  <c:v>114891.0</c:v>
                </c:pt>
                <c:pt idx="107">
                  <c:v>170534.0</c:v>
                </c:pt>
                <c:pt idx="108">
                  <c:v>350656.0</c:v>
                </c:pt>
                <c:pt idx="109">
                  <c:v>90307.0</c:v>
                </c:pt>
                <c:pt idx="110">
                  <c:v>-57392.0</c:v>
                </c:pt>
                <c:pt idx="111">
                  <c:v>82653.0</c:v>
                </c:pt>
                <c:pt idx="112">
                  <c:v>160431.0</c:v>
                </c:pt>
                <c:pt idx="113">
                  <c:v>154277.0</c:v>
                </c:pt>
                <c:pt idx="114">
                  <c:v>576385.0</c:v>
                </c:pt>
                <c:pt idx="115">
                  <c:v>633258.0</c:v>
                </c:pt>
                <c:pt idx="116">
                  <c:v>726588.0</c:v>
                </c:pt>
                <c:pt idx="117">
                  <c:v>576314.0</c:v>
                </c:pt>
                <c:pt idx="118">
                  <c:v>433317.0</c:v>
                </c:pt>
                <c:pt idx="119">
                  <c:v>503443.0</c:v>
                </c:pt>
                <c:pt idx="120">
                  <c:v>637324.0</c:v>
                </c:pt>
                <c:pt idx="121">
                  <c:v>4576.0</c:v>
                </c:pt>
                <c:pt idx="122">
                  <c:v>-120778.0</c:v>
                </c:pt>
                <c:pt idx="123">
                  <c:v>-156557.0</c:v>
                </c:pt>
                <c:pt idx="124">
                  <c:v>96262.0</c:v>
                </c:pt>
                <c:pt idx="125">
                  <c:v>365145.0</c:v>
                </c:pt>
                <c:pt idx="126">
                  <c:v>73987.0</c:v>
                </c:pt>
                <c:pt idx="127">
                  <c:v>-219974.0</c:v>
                </c:pt>
                <c:pt idx="128">
                  <c:v>145102.0</c:v>
                </c:pt>
                <c:pt idx="129">
                  <c:v>140017.0</c:v>
                </c:pt>
                <c:pt idx="130">
                  <c:v>433882.0</c:v>
                </c:pt>
                <c:pt idx="131">
                  <c:v>-106.0</c:v>
                </c:pt>
                <c:pt idx="132">
                  <c:v>-101578.0</c:v>
                </c:pt>
                <c:pt idx="133">
                  <c:v>-28807.0</c:v>
                </c:pt>
                <c:pt idx="134">
                  <c:v>-201599.0</c:v>
                </c:pt>
                <c:pt idx="135">
                  <c:v>-376885.0</c:v>
                </c:pt>
                <c:pt idx="136">
                  <c:v>-264312.0</c:v>
                </c:pt>
                <c:pt idx="137">
                  <c:v>-299192.0</c:v>
                </c:pt>
                <c:pt idx="138">
                  <c:v>598107.0</c:v>
                </c:pt>
                <c:pt idx="139">
                  <c:v>598853.0</c:v>
                </c:pt>
                <c:pt idx="140">
                  <c:v>699684.0</c:v>
                </c:pt>
                <c:pt idx="141">
                  <c:v>102285.0</c:v>
                </c:pt>
                <c:pt idx="142">
                  <c:v>421137.0</c:v>
                </c:pt>
                <c:pt idx="143">
                  <c:v>262188.0</c:v>
                </c:pt>
                <c:pt idx="144">
                  <c:v>-25329.0</c:v>
                </c:pt>
                <c:pt idx="145">
                  <c:v>82905.0</c:v>
                </c:pt>
                <c:pt idx="146">
                  <c:v>137712.0</c:v>
                </c:pt>
                <c:pt idx="147">
                  <c:v>-39094.0</c:v>
                </c:pt>
                <c:pt idx="148">
                  <c:v>12074.0</c:v>
                </c:pt>
                <c:pt idx="149">
                  <c:v>141549.0</c:v>
                </c:pt>
                <c:pt idx="150">
                  <c:v>266189.0</c:v>
                </c:pt>
                <c:pt idx="151">
                  <c:v>559632.0</c:v>
                </c:pt>
                <c:pt idx="152">
                  <c:v>425432.0</c:v>
                </c:pt>
                <c:pt idx="153">
                  <c:v>156597.0</c:v>
                </c:pt>
                <c:pt idx="154">
                  <c:v>598697.0</c:v>
                </c:pt>
                <c:pt idx="155">
                  <c:v>241276.0</c:v>
                </c:pt>
                <c:pt idx="156">
                  <c:v>128161.0</c:v>
                </c:pt>
                <c:pt idx="157">
                  <c:v>133417.0</c:v>
                </c:pt>
                <c:pt idx="158">
                  <c:v>-678217.0</c:v>
                </c:pt>
                <c:pt idx="159">
                  <c:v>-270510.0</c:v>
                </c:pt>
                <c:pt idx="160">
                  <c:v>-260145.0</c:v>
                </c:pt>
                <c:pt idx="161">
                  <c:v>-347547.0</c:v>
                </c:pt>
                <c:pt idx="162">
                  <c:v>-268713.0</c:v>
                </c:pt>
                <c:pt idx="163">
                  <c:v>429860.0</c:v>
                </c:pt>
                <c:pt idx="164">
                  <c:v>218642.0</c:v>
                </c:pt>
                <c:pt idx="165">
                  <c:v>10771.0</c:v>
                </c:pt>
                <c:pt idx="166">
                  <c:v>400088.0</c:v>
                </c:pt>
                <c:pt idx="167">
                  <c:v>-244827.0</c:v>
                </c:pt>
                <c:pt idx="168">
                  <c:v>324540.0</c:v>
                </c:pt>
                <c:pt idx="169">
                  <c:v>-130875.0</c:v>
                </c:pt>
                <c:pt idx="170">
                  <c:v>196114.0</c:v>
                </c:pt>
                <c:pt idx="171">
                  <c:v>-156870.0</c:v>
                </c:pt>
                <c:pt idx="172">
                  <c:v>-115365.0</c:v>
                </c:pt>
                <c:pt idx="173">
                  <c:v>-58604.0</c:v>
                </c:pt>
                <c:pt idx="174">
                  <c:v>186018.0</c:v>
                </c:pt>
                <c:pt idx="175">
                  <c:v>-141490.0</c:v>
                </c:pt>
                <c:pt idx="176">
                  <c:v>63115.0</c:v>
                </c:pt>
                <c:pt idx="177">
                  <c:v>57801.0</c:v>
                </c:pt>
                <c:pt idx="178">
                  <c:v>15943.0</c:v>
                </c:pt>
                <c:pt idx="179">
                  <c:v>496763.0</c:v>
                </c:pt>
                <c:pt idx="180">
                  <c:v>225816.0</c:v>
                </c:pt>
                <c:pt idx="181">
                  <c:v>0.0</c:v>
                </c:pt>
                <c:pt idx="182">
                  <c:v>0.0</c:v>
                </c:pt>
                <c:pt idx="185">
                  <c:v>62840.77528076923</c:v>
                </c:pt>
                <c:pt idx="198">
                  <c:v>811634.0</c:v>
                </c:pt>
                <c:pt idx="199">
                  <c:v>407707.0</c:v>
                </c:pt>
                <c:pt idx="200">
                  <c:v>10365.0</c:v>
                </c:pt>
                <c:pt idx="201">
                  <c:v>87402.0</c:v>
                </c:pt>
                <c:pt idx="202">
                  <c:v>78834.0</c:v>
                </c:pt>
                <c:pt idx="203">
                  <c:v>698573.0</c:v>
                </c:pt>
                <c:pt idx="204">
                  <c:v>211218.0</c:v>
                </c:pt>
                <c:pt idx="205">
                  <c:v>207871.0</c:v>
                </c:pt>
                <c:pt idx="206">
                  <c:v>389317.0</c:v>
                </c:pt>
                <c:pt idx="207">
                  <c:v>644915.0</c:v>
                </c:pt>
                <c:pt idx="208">
                  <c:v>569367.0</c:v>
                </c:pt>
                <c:pt idx="209">
                  <c:v>455415.0</c:v>
                </c:pt>
                <c:pt idx="210">
                  <c:v>326989.0</c:v>
                </c:pt>
                <c:pt idx="211">
                  <c:v>352984.0</c:v>
                </c:pt>
                <c:pt idx="212">
                  <c:v>41505.0</c:v>
                </c:pt>
                <c:pt idx="213">
                  <c:v>56761.0</c:v>
                </c:pt>
                <c:pt idx="214">
                  <c:v>244622.0</c:v>
                </c:pt>
                <c:pt idx="215">
                  <c:v>327508.0</c:v>
                </c:pt>
                <c:pt idx="216">
                  <c:v>204605.0</c:v>
                </c:pt>
                <c:pt idx="217">
                  <c:v>5314.0</c:v>
                </c:pt>
                <c:pt idx="218">
                  <c:v>41858.0</c:v>
                </c:pt>
                <c:pt idx="219">
                  <c:v>480820.0</c:v>
                </c:pt>
                <c:pt idx="220">
                  <c:v>270947.0</c:v>
                </c:pt>
                <c:pt idx="221">
                  <c:v>225816.0</c:v>
                </c:pt>
                <c:pt idx="222">
                  <c:v>0.0</c:v>
                </c:pt>
                <c:pt idx="225">
                  <c:v>151592.8638766234</c:v>
                </c:pt>
                <c:pt idx="226" formatCode="General">
                  <c:v>0.0</c:v>
                </c:pt>
                <c:pt idx="229">
                  <c:v>184736.4166666667</c:v>
                </c:pt>
                <c:pt idx="233" formatCode="General">
                  <c:v>0.0</c:v>
                </c:pt>
                <c:pt idx="234">
                  <c:v>86510.58064516133</c:v>
                </c:pt>
                <c:pt idx="235">
                  <c:v>89378.0647385985</c:v>
                </c:pt>
                <c:pt idx="236">
                  <c:v>92245.54883203564</c:v>
                </c:pt>
                <c:pt idx="237">
                  <c:v>95113.03292547278</c:v>
                </c:pt>
              </c:numCache>
            </c:numRef>
          </c:val>
          <c:smooth val="0"/>
        </c:ser>
        <c:ser>
          <c:idx val="3"/>
          <c:order val="1"/>
          <c:spPr>
            <a:ln w="38100">
              <a:solidFill>
                <a:srgbClr val="1FB714"/>
              </a:solidFill>
              <a:prstDash val="lgDash"/>
            </a:ln>
          </c:spPr>
          <c:marker>
            <c:symbol val="none"/>
          </c:marker>
          <c:cat>
            <c:numRef>
              <c:f>'Month S&amp;P'!$A$132:$A$162</c:f>
              <c:numCache>
                <c:formatCode>mmm\-yy</c:formatCode>
                <c:ptCount val="31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</c:numCache>
            </c:numRef>
          </c:cat>
          <c:val>
            <c:numRef>
              <c:f>'Month S&amp;P'!$R$326:$R$492</c:f>
              <c:numCache>
                <c:formatCode>#,##0_);[Red]\(#,##0\)</c:formatCode>
                <c:ptCount val="167"/>
                <c:pt idx="0">
                  <c:v>474015.2916529132</c:v>
                </c:pt>
                <c:pt idx="1">
                  <c:v>476882.7757463504</c:v>
                </c:pt>
                <c:pt idx="2">
                  <c:v>479750.2598397875</c:v>
                </c:pt>
                <c:pt idx="3">
                  <c:v>482617.7439332246</c:v>
                </c:pt>
                <c:pt idx="4">
                  <c:v>485485.2280266618</c:v>
                </c:pt>
                <c:pt idx="5">
                  <c:v>488352.712120099</c:v>
                </c:pt>
                <c:pt idx="6">
                  <c:v>491220.1962135361</c:v>
                </c:pt>
                <c:pt idx="7">
                  <c:v>494087.6803069733</c:v>
                </c:pt>
                <c:pt idx="8">
                  <c:v>496955.1644004104</c:v>
                </c:pt>
                <c:pt idx="9">
                  <c:v>499822.6484938476</c:v>
                </c:pt>
                <c:pt idx="10">
                  <c:v>502690.1325872847</c:v>
                </c:pt>
                <c:pt idx="11">
                  <c:v>505557.6166807218</c:v>
                </c:pt>
                <c:pt idx="12">
                  <c:v>508425.100774159</c:v>
                </c:pt>
                <c:pt idx="13">
                  <c:v>511292.5848675962</c:v>
                </c:pt>
                <c:pt idx="14">
                  <c:v>514160.0689610333</c:v>
                </c:pt>
                <c:pt idx="15">
                  <c:v>517027.5530544705</c:v>
                </c:pt>
                <c:pt idx="16">
                  <c:v>519895.0371479077</c:v>
                </c:pt>
                <c:pt idx="17">
                  <c:v>522762.5212413447</c:v>
                </c:pt>
                <c:pt idx="18">
                  <c:v>525630.005334782</c:v>
                </c:pt>
                <c:pt idx="19">
                  <c:v>528497.4894282192</c:v>
                </c:pt>
                <c:pt idx="20">
                  <c:v>531364.9735216562</c:v>
                </c:pt>
                <c:pt idx="21">
                  <c:v>534232.4576150933</c:v>
                </c:pt>
                <c:pt idx="22">
                  <c:v>537099.9417085305</c:v>
                </c:pt>
                <c:pt idx="23">
                  <c:v>539967.4258019677</c:v>
                </c:pt>
                <c:pt idx="24">
                  <c:v>542834.9098954048</c:v>
                </c:pt>
                <c:pt idx="25">
                  <c:v>545702.393988842</c:v>
                </c:pt>
                <c:pt idx="26">
                  <c:v>548569.8780822791</c:v>
                </c:pt>
                <c:pt idx="27">
                  <c:v>551437.3621757163</c:v>
                </c:pt>
                <c:pt idx="28">
                  <c:v>554304.8462691535</c:v>
                </c:pt>
                <c:pt idx="29">
                  <c:v>557172.3303625907</c:v>
                </c:pt>
                <c:pt idx="30">
                  <c:v>560039.814456028</c:v>
                </c:pt>
                <c:pt idx="31">
                  <c:v>562907.2985494651</c:v>
                </c:pt>
                <c:pt idx="32">
                  <c:v>565774.7826429023</c:v>
                </c:pt>
                <c:pt idx="33">
                  <c:v>568642.2667363395</c:v>
                </c:pt>
                <c:pt idx="34">
                  <c:v>571509.7508297767</c:v>
                </c:pt>
                <c:pt idx="35">
                  <c:v>574377.234923214</c:v>
                </c:pt>
                <c:pt idx="36">
                  <c:v>577244.7190166512</c:v>
                </c:pt>
                <c:pt idx="37">
                  <c:v>580112.2031100884</c:v>
                </c:pt>
                <c:pt idx="38">
                  <c:v>582979.6872035256</c:v>
                </c:pt>
                <c:pt idx="39">
                  <c:v>585847.1712969628</c:v>
                </c:pt>
                <c:pt idx="40">
                  <c:v>588714.6553904</c:v>
                </c:pt>
                <c:pt idx="41">
                  <c:v>591582.1394838371</c:v>
                </c:pt>
                <c:pt idx="42">
                  <c:v>594449.6235772744</c:v>
                </c:pt>
                <c:pt idx="43">
                  <c:v>597317.1076707116</c:v>
                </c:pt>
                <c:pt idx="44">
                  <c:v>600184.5917641487</c:v>
                </c:pt>
                <c:pt idx="45">
                  <c:v>603052.075857586</c:v>
                </c:pt>
                <c:pt idx="46">
                  <c:v>605919.5599510231</c:v>
                </c:pt>
                <c:pt idx="47">
                  <c:v>608787.0440444604</c:v>
                </c:pt>
                <c:pt idx="48">
                  <c:v>611654.5281378976</c:v>
                </c:pt>
                <c:pt idx="49">
                  <c:v>614522.0122313348</c:v>
                </c:pt>
                <c:pt idx="50">
                  <c:v>617389.496324772</c:v>
                </c:pt>
                <c:pt idx="51">
                  <c:v>620256.9804182092</c:v>
                </c:pt>
                <c:pt idx="52">
                  <c:v>623124.4645116464</c:v>
                </c:pt>
                <c:pt idx="53">
                  <c:v>625991.9486050836</c:v>
                </c:pt>
                <c:pt idx="54">
                  <c:v>628859.4326985208</c:v>
                </c:pt>
                <c:pt idx="55">
                  <c:v>631726.916791958</c:v>
                </c:pt>
                <c:pt idx="56">
                  <c:v>634594.4008853952</c:v>
                </c:pt>
                <c:pt idx="57">
                  <c:v>637461.8849788324</c:v>
                </c:pt>
                <c:pt idx="58">
                  <c:v>640329.3690722696</c:v>
                </c:pt>
                <c:pt idx="59">
                  <c:v>643196.8531657068</c:v>
                </c:pt>
                <c:pt idx="60">
                  <c:v>646064.337259144</c:v>
                </c:pt>
                <c:pt idx="61">
                  <c:v>648931.8213525812</c:v>
                </c:pt>
                <c:pt idx="62">
                  <c:v>651799.3054460184</c:v>
                </c:pt>
                <c:pt idx="63">
                  <c:v>654666.7895394557</c:v>
                </c:pt>
                <c:pt idx="64">
                  <c:v>657534.2736328929</c:v>
                </c:pt>
                <c:pt idx="65">
                  <c:v>660401.75772633</c:v>
                </c:pt>
                <c:pt idx="66">
                  <c:v>663269.2418197673</c:v>
                </c:pt>
                <c:pt idx="67">
                  <c:v>666136.7259132045</c:v>
                </c:pt>
                <c:pt idx="68">
                  <c:v>669004.2100066416</c:v>
                </c:pt>
                <c:pt idx="69">
                  <c:v>671871.6941000789</c:v>
                </c:pt>
                <c:pt idx="70">
                  <c:v>674739.1781935161</c:v>
                </c:pt>
                <c:pt idx="71">
                  <c:v>677606.6622869533</c:v>
                </c:pt>
                <c:pt idx="72">
                  <c:v>680474.1463803905</c:v>
                </c:pt>
                <c:pt idx="73">
                  <c:v>683341.6304738277</c:v>
                </c:pt>
                <c:pt idx="74">
                  <c:v>686209.1145672649</c:v>
                </c:pt>
                <c:pt idx="75">
                  <c:v>689076.5986607021</c:v>
                </c:pt>
                <c:pt idx="76">
                  <c:v>691944.0827541393</c:v>
                </c:pt>
                <c:pt idx="77">
                  <c:v>694811.5668475765</c:v>
                </c:pt>
                <c:pt idx="78">
                  <c:v>697679.0509410137</c:v>
                </c:pt>
                <c:pt idx="79">
                  <c:v>700546.535034451</c:v>
                </c:pt>
                <c:pt idx="80">
                  <c:v>703414.0191278881</c:v>
                </c:pt>
                <c:pt idx="81">
                  <c:v>706281.5032213253</c:v>
                </c:pt>
                <c:pt idx="82">
                  <c:v>709148.9873147625</c:v>
                </c:pt>
                <c:pt idx="83">
                  <c:v>712016.4714081998</c:v>
                </c:pt>
                <c:pt idx="84">
                  <c:v>714883.955501637</c:v>
                </c:pt>
                <c:pt idx="85">
                  <c:v>717751.4395950742</c:v>
                </c:pt>
                <c:pt idx="86">
                  <c:v>720618.9236885113</c:v>
                </c:pt>
                <c:pt idx="87">
                  <c:v>723486.4077819485</c:v>
                </c:pt>
                <c:pt idx="88">
                  <c:v>726353.8918753857</c:v>
                </c:pt>
                <c:pt idx="89">
                  <c:v>729221.375968823</c:v>
                </c:pt>
                <c:pt idx="90">
                  <c:v>732088.8600622601</c:v>
                </c:pt>
                <c:pt idx="91">
                  <c:v>734956.3441556973</c:v>
                </c:pt>
                <c:pt idx="92">
                  <c:v>737823.8282491346</c:v>
                </c:pt>
                <c:pt idx="93">
                  <c:v>740691.3123425718</c:v>
                </c:pt>
                <c:pt idx="94">
                  <c:v>743558.796436009</c:v>
                </c:pt>
                <c:pt idx="95">
                  <c:v>746426.2805294462</c:v>
                </c:pt>
                <c:pt idx="96">
                  <c:v>749293.7646228834</c:v>
                </c:pt>
                <c:pt idx="97">
                  <c:v>752161.2487163206</c:v>
                </c:pt>
                <c:pt idx="98">
                  <c:v>755028.7328097578</c:v>
                </c:pt>
                <c:pt idx="99">
                  <c:v>757896.216903195</c:v>
                </c:pt>
                <c:pt idx="100">
                  <c:v>760763.7009966322</c:v>
                </c:pt>
                <c:pt idx="101">
                  <c:v>763631.1850900694</c:v>
                </c:pt>
                <c:pt idx="102">
                  <c:v>766498.6691835066</c:v>
                </c:pt>
                <c:pt idx="103">
                  <c:v>769366.1532769438</c:v>
                </c:pt>
                <c:pt idx="104">
                  <c:v>772233.637370381</c:v>
                </c:pt>
                <c:pt idx="105">
                  <c:v>775101.1214638182</c:v>
                </c:pt>
                <c:pt idx="106">
                  <c:v>777968.6055572554</c:v>
                </c:pt>
                <c:pt idx="107">
                  <c:v>780836.0896506927</c:v>
                </c:pt>
                <c:pt idx="108">
                  <c:v>783703.5737441299</c:v>
                </c:pt>
                <c:pt idx="109">
                  <c:v>786571.057837567</c:v>
                </c:pt>
                <c:pt idx="110">
                  <c:v>789438.5419310042</c:v>
                </c:pt>
                <c:pt idx="111">
                  <c:v>792306.0260244414</c:v>
                </c:pt>
                <c:pt idx="112">
                  <c:v>795173.5101178787</c:v>
                </c:pt>
                <c:pt idx="113">
                  <c:v>798040.9942113159</c:v>
                </c:pt>
                <c:pt idx="114">
                  <c:v>800908.4783047531</c:v>
                </c:pt>
                <c:pt idx="115">
                  <c:v>803775.9623981903</c:v>
                </c:pt>
                <c:pt idx="116">
                  <c:v>806643.4464916274</c:v>
                </c:pt>
                <c:pt idx="117">
                  <c:v>809510.9305850647</c:v>
                </c:pt>
                <c:pt idx="118">
                  <c:v>812378.4146785019</c:v>
                </c:pt>
                <c:pt idx="119">
                  <c:v>815245.8987719391</c:v>
                </c:pt>
                <c:pt idx="120">
                  <c:v>818113.3828653763</c:v>
                </c:pt>
                <c:pt idx="121">
                  <c:v>820980.8669588135</c:v>
                </c:pt>
                <c:pt idx="122">
                  <c:v>823848.3510522507</c:v>
                </c:pt>
                <c:pt idx="123">
                  <c:v>826715.835145688</c:v>
                </c:pt>
                <c:pt idx="124">
                  <c:v>829583.3192391251</c:v>
                </c:pt>
                <c:pt idx="125">
                  <c:v>832450.8033325623</c:v>
                </c:pt>
                <c:pt idx="126">
                  <c:v>835318.2874259995</c:v>
                </c:pt>
                <c:pt idx="127">
                  <c:v>838185.7715194367</c:v>
                </c:pt>
                <c:pt idx="128">
                  <c:v>841053.255612874</c:v>
                </c:pt>
                <c:pt idx="129">
                  <c:v>843920.7397063111</c:v>
                </c:pt>
                <c:pt idx="130">
                  <c:v>846788.2237997483</c:v>
                </c:pt>
                <c:pt idx="131">
                  <c:v>849655.7078931856</c:v>
                </c:pt>
                <c:pt idx="132">
                  <c:v>852523.1919866227</c:v>
                </c:pt>
                <c:pt idx="133">
                  <c:v>855390.67608006</c:v>
                </c:pt>
                <c:pt idx="134">
                  <c:v>858258.1601734972</c:v>
                </c:pt>
                <c:pt idx="135">
                  <c:v>861125.6442669343</c:v>
                </c:pt>
                <c:pt idx="136">
                  <c:v>863993.1283603716</c:v>
                </c:pt>
                <c:pt idx="137">
                  <c:v>866860.6124538087</c:v>
                </c:pt>
                <c:pt idx="138">
                  <c:v>869728.096547246</c:v>
                </c:pt>
                <c:pt idx="139">
                  <c:v>872595.5806406832</c:v>
                </c:pt>
                <c:pt idx="140">
                  <c:v>875463.0647341203</c:v>
                </c:pt>
                <c:pt idx="141">
                  <c:v>878330.5488275575</c:v>
                </c:pt>
                <c:pt idx="142">
                  <c:v>881198.0329209948</c:v>
                </c:pt>
                <c:pt idx="143">
                  <c:v>884065.517014432</c:v>
                </c:pt>
                <c:pt idx="144">
                  <c:v>886933.0011078692</c:v>
                </c:pt>
                <c:pt idx="145">
                  <c:v>889800.4852013064</c:v>
                </c:pt>
                <c:pt idx="146">
                  <c:v>892667.9692947436</c:v>
                </c:pt>
                <c:pt idx="147">
                  <c:v>895535.4533881808</c:v>
                </c:pt>
                <c:pt idx="148">
                  <c:v>898402.937481618</c:v>
                </c:pt>
                <c:pt idx="149">
                  <c:v>901270.4215750552</c:v>
                </c:pt>
                <c:pt idx="150">
                  <c:v>904137.9056684924</c:v>
                </c:pt>
                <c:pt idx="151">
                  <c:v>907005.3897619296</c:v>
                </c:pt>
                <c:pt idx="152">
                  <c:v>909872.8738553668</c:v>
                </c:pt>
                <c:pt idx="153">
                  <c:v>912740.357948804</c:v>
                </c:pt>
                <c:pt idx="154">
                  <c:v>915607.8420422412</c:v>
                </c:pt>
                <c:pt idx="155">
                  <c:v>918475.3261356784</c:v>
                </c:pt>
                <c:pt idx="156">
                  <c:v>921342.8102291156</c:v>
                </c:pt>
                <c:pt idx="157">
                  <c:v>924210.2943225529</c:v>
                </c:pt>
                <c:pt idx="158">
                  <c:v>927077.7784159901</c:v>
                </c:pt>
                <c:pt idx="159">
                  <c:v>929945.2625094273</c:v>
                </c:pt>
                <c:pt idx="160">
                  <c:v>932812.7466028645</c:v>
                </c:pt>
                <c:pt idx="161">
                  <c:v>935680.2306963016</c:v>
                </c:pt>
                <c:pt idx="162">
                  <c:v>938547.7147897389</c:v>
                </c:pt>
                <c:pt idx="163">
                  <c:v>941415.198883176</c:v>
                </c:pt>
                <c:pt idx="164">
                  <c:v>944282.6829766133</c:v>
                </c:pt>
                <c:pt idx="165">
                  <c:v>947150.1670700505</c:v>
                </c:pt>
                <c:pt idx="166">
                  <c:v>950017.6511634877</c:v>
                </c:pt>
              </c:numCache>
            </c:numRef>
          </c:val>
          <c:smooth val="0"/>
        </c:ser>
        <c:ser>
          <c:idx val="4"/>
          <c:order val="2"/>
          <c:spPr>
            <a:ln w="25400">
              <a:solidFill>
                <a:srgbClr val="DD0806"/>
              </a:solidFill>
              <a:prstDash val="lgDash"/>
            </a:ln>
          </c:spPr>
          <c:marker>
            <c:symbol val="none"/>
          </c:marker>
          <c:cat>
            <c:numRef>
              <c:f>'Month S&amp;P'!$A$132:$A$319</c:f>
              <c:numCache>
                <c:formatCode>mmm\-yy</c:formatCode>
                <c:ptCount val="188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  <c:pt idx="149">
                  <c:v>39171.0</c:v>
                </c:pt>
                <c:pt idx="150">
                  <c:v>39201.0</c:v>
                </c:pt>
                <c:pt idx="151">
                  <c:v>39232.0</c:v>
                </c:pt>
                <c:pt idx="152">
                  <c:v>39262.0</c:v>
                </c:pt>
                <c:pt idx="153">
                  <c:v>39293.0</c:v>
                </c:pt>
                <c:pt idx="154">
                  <c:v>39324.0</c:v>
                </c:pt>
                <c:pt idx="155">
                  <c:v>39354.0</c:v>
                </c:pt>
                <c:pt idx="156">
                  <c:v>39385.0</c:v>
                </c:pt>
                <c:pt idx="157">
                  <c:v>39415.0</c:v>
                </c:pt>
                <c:pt idx="158">
                  <c:v>39446.0</c:v>
                </c:pt>
                <c:pt idx="159">
                  <c:v>39477.0</c:v>
                </c:pt>
                <c:pt idx="160">
                  <c:v>39506.0</c:v>
                </c:pt>
                <c:pt idx="161">
                  <c:v>39537.0</c:v>
                </c:pt>
                <c:pt idx="162">
                  <c:v>39567.0</c:v>
                </c:pt>
                <c:pt idx="163">
                  <c:v>39598.0</c:v>
                </c:pt>
                <c:pt idx="164">
                  <c:v>39628.0</c:v>
                </c:pt>
                <c:pt idx="165">
                  <c:v>39659.0</c:v>
                </c:pt>
                <c:pt idx="166">
                  <c:v>39690.0</c:v>
                </c:pt>
                <c:pt idx="167">
                  <c:v>39720.0</c:v>
                </c:pt>
                <c:pt idx="168">
                  <c:v>39751.0</c:v>
                </c:pt>
                <c:pt idx="169">
                  <c:v>39781.0</c:v>
                </c:pt>
                <c:pt idx="170">
                  <c:v>39812.0</c:v>
                </c:pt>
                <c:pt idx="171">
                  <c:v>39843.0</c:v>
                </c:pt>
                <c:pt idx="172">
                  <c:v>39871.0</c:v>
                </c:pt>
                <c:pt idx="173">
                  <c:v>39902.0</c:v>
                </c:pt>
                <c:pt idx="174">
                  <c:v>39932.0</c:v>
                </c:pt>
                <c:pt idx="175">
                  <c:v>39963.0</c:v>
                </c:pt>
                <c:pt idx="176">
                  <c:v>39993.0</c:v>
                </c:pt>
                <c:pt idx="177">
                  <c:v>40024.0</c:v>
                </c:pt>
                <c:pt idx="178">
                  <c:v>40055.0</c:v>
                </c:pt>
                <c:pt idx="179">
                  <c:v>40085.0</c:v>
                </c:pt>
                <c:pt idx="180">
                  <c:v>40116.0</c:v>
                </c:pt>
                <c:pt idx="181">
                  <c:v>40146.0</c:v>
                </c:pt>
                <c:pt idx="182">
                  <c:v>40177.0</c:v>
                </c:pt>
              </c:numCache>
            </c:numRef>
          </c:cat>
          <c:val>
            <c:numRef>
              <c:f>'Month S&amp;P'!$S$326:$S$492</c:f>
              <c:numCache>
                <c:formatCode>#,##0_);[Red]\(#,##0\)</c:formatCode>
                <c:ptCount val="167"/>
                <c:pt idx="0">
                  <c:v>-300994.1303625905</c:v>
                </c:pt>
                <c:pt idx="1">
                  <c:v>-298126.6462691534</c:v>
                </c:pt>
                <c:pt idx="2">
                  <c:v>-295259.1621757163</c:v>
                </c:pt>
                <c:pt idx="3">
                  <c:v>-292391.6780822791</c:v>
                </c:pt>
                <c:pt idx="4">
                  <c:v>-289524.193988842</c:v>
                </c:pt>
                <c:pt idx="5">
                  <c:v>-286656.7098954048</c:v>
                </c:pt>
                <c:pt idx="6">
                  <c:v>-283789.2258019677</c:v>
                </c:pt>
                <c:pt idx="7">
                  <c:v>-280921.7417085305</c:v>
                </c:pt>
                <c:pt idx="8">
                  <c:v>-278054.2576150933</c:v>
                </c:pt>
                <c:pt idx="9">
                  <c:v>-275186.7735216561</c:v>
                </c:pt>
                <c:pt idx="10">
                  <c:v>-272319.289428219</c:v>
                </c:pt>
                <c:pt idx="11">
                  <c:v>-269451.8053347819</c:v>
                </c:pt>
                <c:pt idx="12">
                  <c:v>-266584.3212413447</c:v>
                </c:pt>
                <c:pt idx="13">
                  <c:v>-263716.8371479076</c:v>
                </c:pt>
                <c:pt idx="14">
                  <c:v>-260849.3530544704</c:v>
                </c:pt>
                <c:pt idx="15">
                  <c:v>-257981.8689610333</c:v>
                </c:pt>
                <c:pt idx="16">
                  <c:v>-255114.3848675961</c:v>
                </c:pt>
                <c:pt idx="17">
                  <c:v>-252246.900774159</c:v>
                </c:pt>
                <c:pt idx="18">
                  <c:v>-249379.4166807218</c:v>
                </c:pt>
                <c:pt idx="19">
                  <c:v>-246511.9325872847</c:v>
                </c:pt>
                <c:pt idx="20">
                  <c:v>-243644.4484938475</c:v>
                </c:pt>
                <c:pt idx="21">
                  <c:v>-240776.9644004104</c:v>
                </c:pt>
                <c:pt idx="22">
                  <c:v>-237909.4803069732</c:v>
                </c:pt>
                <c:pt idx="23">
                  <c:v>-235041.9962135361</c:v>
                </c:pt>
                <c:pt idx="24">
                  <c:v>-232174.512120099</c:v>
                </c:pt>
                <c:pt idx="25">
                  <c:v>-229307.0280266618</c:v>
                </c:pt>
                <c:pt idx="26">
                  <c:v>-226439.5439332246</c:v>
                </c:pt>
                <c:pt idx="27">
                  <c:v>-223572.0598397875</c:v>
                </c:pt>
                <c:pt idx="28">
                  <c:v>-220704.5757463503</c:v>
                </c:pt>
                <c:pt idx="29">
                  <c:v>-217837.0916529132</c:v>
                </c:pt>
                <c:pt idx="30">
                  <c:v>-214969.607559476</c:v>
                </c:pt>
                <c:pt idx="31">
                  <c:v>-212102.1234660389</c:v>
                </c:pt>
                <c:pt idx="32">
                  <c:v>-209234.6393726017</c:v>
                </c:pt>
                <c:pt idx="33">
                  <c:v>-206367.1552791646</c:v>
                </c:pt>
                <c:pt idx="34">
                  <c:v>-203499.6711857274</c:v>
                </c:pt>
                <c:pt idx="35">
                  <c:v>-200632.1870922903</c:v>
                </c:pt>
                <c:pt idx="36">
                  <c:v>-197764.7029988531</c:v>
                </c:pt>
                <c:pt idx="37">
                  <c:v>-194897.218905416</c:v>
                </c:pt>
                <c:pt idx="38">
                  <c:v>-192029.7348119789</c:v>
                </c:pt>
                <c:pt idx="39">
                  <c:v>-189162.2507185417</c:v>
                </c:pt>
                <c:pt idx="40">
                  <c:v>-186294.7666251046</c:v>
                </c:pt>
                <c:pt idx="41">
                  <c:v>-183427.2825316674</c:v>
                </c:pt>
                <c:pt idx="42">
                  <c:v>-180559.7984382303</c:v>
                </c:pt>
                <c:pt idx="43">
                  <c:v>-177692.3143447931</c:v>
                </c:pt>
                <c:pt idx="44">
                  <c:v>-174824.830251356</c:v>
                </c:pt>
                <c:pt idx="45">
                  <c:v>-171957.3461579188</c:v>
                </c:pt>
                <c:pt idx="46">
                  <c:v>-169089.8620644817</c:v>
                </c:pt>
                <c:pt idx="47">
                  <c:v>-166222.3779710445</c:v>
                </c:pt>
                <c:pt idx="48">
                  <c:v>-163354.8938776074</c:v>
                </c:pt>
                <c:pt idx="49">
                  <c:v>-160487.4097841702</c:v>
                </c:pt>
                <c:pt idx="50">
                  <c:v>-157619.9256907331</c:v>
                </c:pt>
                <c:pt idx="51">
                  <c:v>-154752.441597296</c:v>
                </c:pt>
                <c:pt idx="52">
                  <c:v>-151884.9575038588</c:v>
                </c:pt>
                <c:pt idx="53">
                  <c:v>-149017.4734104217</c:v>
                </c:pt>
                <c:pt idx="54">
                  <c:v>-146149.9893169845</c:v>
                </c:pt>
                <c:pt idx="55">
                  <c:v>-143282.5052235474</c:v>
                </c:pt>
                <c:pt idx="56">
                  <c:v>-140415.0211301102</c:v>
                </c:pt>
                <c:pt idx="57">
                  <c:v>-137547.5370366731</c:v>
                </c:pt>
                <c:pt idx="58">
                  <c:v>-134680.052943236</c:v>
                </c:pt>
                <c:pt idx="59">
                  <c:v>-131812.5688497988</c:v>
                </c:pt>
                <c:pt idx="60">
                  <c:v>-128945.0847563616</c:v>
                </c:pt>
                <c:pt idx="61">
                  <c:v>-126077.6006629245</c:v>
                </c:pt>
                <c:pt idx="62">
                  <c:v>-123210.1165694874</c:v>
                </c:pt>
                <c:pt idx="63">
                  <c:v>-120342.6324760502</c:v>
                </c:pt>
                <c:pt idx="64">
                  <c:v>-117475.1483826131</c:v>
                </c:pt>
                <c:pt idx="65">
                  <c:v>-114607.6642891759</c:v>
                </c:pt>
                <c:pt idx="66">
                  <c:v>-111740.1801957388</c:v>
                </c:pt>
                <c:pt idx="67">
                  <c:v>-108872.6961023016</c:v>
                </c:pt>
                <c:pt idx="68">
                  <c:v>-106005.2120088645</c:v>
                </c:pt>
                <c:pt idx="69">
                  <c:v>-103137.7279154274</c:v>
                </c:pt>
                <c:pt idx="70">
                  <c:v>-100270.2438219902</c:v>
                </c:pt>
                <c:pt idx="71">
                  <c:v>-97402.75972855306</c:v>
                </c:pt>
                <c:pt idx="72">
                  <c:v>-94535.27563511591</c:v>
                </c:pt>
                <c:pt idx="73">
                  <c:v>-91667.79154167877</c:v>
                </c:pt>
                <c:pt idx="74">
                  <c:v>-88800.30744824162</c:v>
                </c:pt>
                <c:pt idx="75">
                  <c:v>-85932.82335480448</c:v>
                </c:pt>
                <c:pt idx="76">
                  <c:v>-83065.33926136733</c:v>
                </c:pt>
                <c:pt idx="77">
                  <c:v>-80197.85516793018</c:v>
                </c:pt>
                <c:pt idx="78">
                  <c:v>-77330.37107449304</c:v>
                </c:pt>
                <c:pt idx="79">
                  <c:v>-74462.8869810559</c:v>
                </c:pt>
                <c:pt idx="80">
                  <c:v>-71595.40288761875</c:v>
                </c:pt>
                <c:pt idx="81">
                  <c:v>-68727.9187941816</c:v>
                </c:pt>
                <c:pt idx="82">
                  <c:v>-65860.43470074446</c:v>
                </c:pt>
                <c:pt idx="83">
                  <c:v>-62992.95060730731</c:v>
                </c:pt>
                <c:pt idx="84">
                  <c:v>-60125.46651387016</c:v>
                </c:pt>
                <c:pt idx="85">
                  <c:v>-57257.98242043302</c:v>
                </c:pt>
                <c:pt idx="86">
                  <c:v>-54390.49832699587</c:v>
                </c:pt>
                <c:pt idx="87">
                  <c:v>-51523.01423355872</c:v>
                </c:pt>
                <c:pt idx="88">
                  <c:v>-48655.53014012158</c:v>
                </c:pt>
                <c:pt idx="89">
                  <c:v>-45788.04604668444</c:v>
                </c:pt>
                <c:pt idx="90">
                  <c:v>-42920.56195324729</c:v>
                </c:pt>
                <c:pt idx="91">
                  <c:v>-40053.07785981015</c:v>
                </c:pt>
                <c:pt idx="92">
                  <c:v>-37185.593766373</c:v>
                </c:pt>
                <c:pt idx="93">
                  <c:v>-34318.10967293585</c:v>
                </c:pt>
                <c:pt idx="94">
                  <c:v>-31450.62557949871</c:v>
                </c:pt>
                <c:pt idx="95">
                  <c:v>-28583.14148606156</c:v>
                </c:pt>
                <c:pt idx="96">
                  <c:v>-25715.65739262441</c:v>
                </c:pt>
                <c:pt idx="97">
                  <c:v>-22848.17329918727</c:v>
                </c:pt>
                <c:pt idx="98">
                  <c:v>-19980.68920575012</c:v>
                </c:pt>
                <c:pt idx="99">
                  <c:v>-17113.20511231298</c:v>
                </c:pt>
                <c:pt idx="100">
                  <c:v>-14245.72101887583</c:v>
                </c:pt>
                <c:pt idx="101">
                  <c:v>-11378.23692543869</c:v>
                </c:pt>
                <c:pt idx="102">
                  <c:v>-8510.75283200154</c:v>
                </c:pt>
                <c:pt idx="103">
                  <c:v>-5643.268738564395</c:v>
                </c:pt>
                <c:pt idx="104">
                  <c:v>-2775.784645127249</c:v>
                </c:pt>
                <c:pt idx="105">
                  <c:v>91.69944830989698</c:v>
                </c:pt>
                <c:pt idx="106">
                  <c:v>2959.183541747043</c:v>
                </c:pt>
                <c:pt idx="107">
                  <c:v>5826.667635184188</c:v>
                </c:pt>
                <c:pt idx="108">
                  <c:v>8694.151728621335</c:v>
                </c:pt>
                <c:pt idx="109">
                  <c:v>11561.63582205848</c:v>
                </c:pt>
                <c:pt idx="110">
                  <c:v>14429.11991549563</c:v>
                </c:pt>
                <c:pt idx="111">
                  <c:v>17296.60400893277</c:v>
                </c:pt>
                <c:pt idx="112">
                  <c:v>20164.08810236992</c:v>
                </c:pt>
                <c:pt idx="113">
                  <c:v>23031.57219580706</c:v>
                </c:pt>
                <c:pt idx="114">
                  <c:v>25899.05628924421</c:v>
                </c:pt>
                <c:pt idx="115">
                  <c:v>28766.54038268136</c:v>
                </c:pt>
                <c:pt idx="116">
                  <c:v>31634.0244761185</c:v>
                </c:pt>
                <c:pt idx="117">
                  <c:v>34501.50856955565</c:v>
                </c:pt>
                <c:pt idx="118">
                  <c:v>37368.99266299279</c:v>
                </c:pt>
                <c:pt idx="119">
                  <c:v>40236.47675642993</c:v>
                </c:pt>
                <c:pt idx="120">
                  <c:v>43103.96084986709</c:v>
                </c:pt>
                <c:pt idx="121">
                  <c:v>45971.44494330423</c:v>
                </c:pt>
                <c:pt idx="122">
                  <c:v>48838.92903674138</c:v>
                </c:pt>
                <c:pt idx="123">
                  <c:v>51706.41313017852</c:v>
                </c:pt>
                <c:pt idx="124">
                  <c:v>54573.89722361567</c:v>
                </c:pt>
                <c:pt idx="125">
                  <c:v>57441.38131705281</c:v>
                </c:pt>
                <c:pt idx="126">
                  <c:v>60308.86541048996</c:v>
                </c:pt>
                <c:pt idx="127">
                  <c:v>63176.3495039271</c:v>
                </c:pt>
                <c:pt idx="128">
                  <c:v>66043.83359736425</c:v>
                </c:pt>
                <c:pt idx="129">
                  <c:v>68911.3176908014</c:v>
                </c:pt>
                <c:pt idx="130">
                  <c:v>71778.80178423854</c:v>
                </c:pt>
                <c:pt idx="131">
                  <c:v>74646.28587767569</c:v>
                </c:pt>
                <c:pt idx="132">
                  <c:v>77513.76997111284</c:v>
                </c:pt>
                <c:pt idx="133">
                  <c:v>80381.25406454998</c:v>
                </c:pt>
                <c:pt idx="134">
                  <c:v>83248.73815798712</c:v>
                </c:pt>
                <c:pt idx="135">
                  <c:v>86116.22225142427</c:v>
                </c:pt>
                <c:pt idx="136">
                  <c:v>88983.70634486142</c:v>
                </c:pt>
                <c:pt idx="137">
                  <c:v>91851.19043829856</c:v>
                </c:pt>
                <c:pt idx="138">
                  <c:v>94718.6745317357</c:v>
                </c:pt>
                <c:pt idx="139">
                  <c:v>97586.15862517286</c:v>
                </c:pt>
                <c:pt idx="140">
                  <c:v>100453.64271861</c:v>
                </c:pt>
                <c:pt idx="141">
                  <c:v>103321.1268120472</c:v>
                </c:pt>
                <c:pt idx="142">
                  <c:v>106188.6109054843</c:v>
                </c:pt>
                <c:pt idx="143">
                  <c:v>109056.0949989214</c:v>
                </c:pt>
                <c:pt idx="144">
                  <c:v>111923.5790923586</c:v>
                </c:pt>
                <c:pt idx="145">
                  <c:v>114791.0631857957</c:v>
                </c:pt>
                <c:pt idx="146">
                  <c:v>117658.5472792329</c:v>
                </c:pt>
                <c:pt idx="147">
                  <c:v>120526.03137267</c:v>
                </c:pt>
                <c:pt idx="148">
                  <c:v>123393.5154661072</c:v>
                </c:pt>
                <c:pt idx="149">
                  <c:v>126260.9995595443</c:v>
                </c:pt>
                <c:pt idx="150">
                  <c:v>129128.4836529815</c:v>
                </c:pt>
                <c:pt idx="151">
                  <c:v>131995.9677464186</c:v>
                </c:pt>
                <c:pt idx="152">
                  <c:v>134863.4518398558</c:v>
                </c:pt>
                <c:pt idx="153">
                  <c:v>137730.935933293</c:v>
                </c:pt>
                <c:pt idx="154">
                  <c:v>140598.4200267302</c:v>
                </c:pt>
                <c:pt idx="155">
                  <c:v>143465.9041201674</c:v>
                </c:pt>
                <c:pt idx="156">
                  <c:v>146333.3882136046</c:v>
                </c:pt>
                <c:pt idx="157">
                  <c:v>149200.8723070418</c:v>
                </c:pt>
                <c:pt idx="158">
                  <c:v>152068.356400479</c:v>
                </c:pt>
                <c:pt idx="159">
                  <c:v>154935.8404939162</c:v>
                </c:pt>
                <c:pt idx="160">
                  <c:v>157803.3245873534</c:v>
                </c:pt>
                <c:pt idx="161">
                  <c:v>160670.8086807906</c:v>
                </c:pt>
                <c:pt idx="162">
                  <c:v>163538.2927742278</c:v>
                </c:pt>
                <c:pt idx="163">
                  <c:v>166405.776867665</c:v>
                </c:pt>
                <c:pt idx="164">
                  <c:v>169273.2609611022</c:v>
                </c:pt>
                <c:pt idx="165">
                  <c:v>172140.7450545394</c:v>
                </c:pt>
                <c:pt idx="166">
                  <c:v>175008.2291479766</c:v>
                </c:pt>
              </c:numCache>
            </c:numRef>
          </c:val>
          <c:smooth val="0"/>
        </c:ser>
        <c:ser>
          <c:idx val="2"/>
          <c:order val="3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'Month S&amp;P'!$A$132:$A$280</c:f>
              <c:numCache>
                <c:formatCode>mmm\-yy</c:formatCode>
                <c:ptCount val="149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</c:numCache>
            </c:numRef>
          </c:cat>
          <c:val>
            <c:numRef>
              <c:f>'Month S&amp;P'!$N$132:$N$280</c:f>
              <c:numCache>
                <c:formatCode>#,##0_);[Red]\(#,##0\)</c:formatCode>
                <c:ptCount val="149"/>
                <c:pt idx="0">
                  <c:v>318110.3242235541</c:v>
                </c:pt>
                <c:pt idx="1">
                  <c:v>315752.1892150674</c:v>
                </c:pt>
                <c:pt idx="2">
                  <c:v>315680.4898152226</c:v>
                </c:pt>
                <c:pt idx="3">
                  <c:v>322361.6129999746</c:v>
                </c:pt>
                <c:pt idx="4">
                  <c:v>322078.6442755181</c:v>
                </c:pt>
                <c:pt idx="5">
                  <c:v>330289.8344786686</c:v>
                </c:pt>
                <c:pt idx="6">
                  <c:v>332000.5655103</c:v>
                </c:pt>
                <c:pt idx="7">
                  <c:v>336965.2177991636</c:v>
                </c:pt>
                <c:pt idx="8">
                  <c:v>320820.0910098907</c:v>
                </c:pt>
                <c:pt idx="9">
                  <c:v>327985.4651341836</c:v>
                </c:pt>
                <c:pt idx="10">
                  <c:v>325834.7838347355</c:v>
                </c:pt>
                <c:pt idx="11">
                  <c:v>322884.2748481926</c:v>
                </c:pt>
                <c:pt idx="12">
                  <c:v>318117.4233269687</c:v>
                </c:pt>
                <c:pt idx="13">
                  <c:v>307413.2718710022</c:v>
                </c:pt>
                <c:pt idx="14">
                  <c:v>307372.9877811118</c:v>
                </c:pt>
                <c:pt idx="15">
                  <c:v>306107.8099782927</c:v>
                </c:pt>
                <c:pt idx="16">
                  <c:v>309973.574794812</c:v>
                </c:pt>
                <c:pt idx="17">
                  <c:v>323110.0757981959</c:v>
                </c:pt>
                <c:pt idx="18">
                  <c:v>320577.7900366241</c:v>
                </c:pt>
                <c:pt idx="19">
                  <c:v>349036.288179744</c:v>
                </c:pt>
                <c:pt idx="20">
                  <c:v>358843.5980556796</c:v>
                </c:pt>
                <c:pt idx="21">
                  <c:v>362836.3282151055</c:v>
                </c:pt>
                <c:pt idx="22">
                  <c:v>355175.1966655154</c:v>
                </c:pt>
                <c:pt idx="23">
                  <c:v>363795.7376480194</c:v>
                </c:pt>
                <c:pt idx="24">
                  <c:v>369141.9457969563</c:v>
                </c:pt>
                <c:pt idx="25">
                  <c:v>359870.5898066153</c:v>
                </c:pt>
                <c:pt idx="26">
                  <c:v>357655.4063801851</c:v>
                </c:pt>
                <c:pt idx="27">
                  <c:v>357523.1923996764</c:v>
                </c:pt>
                <c:pt idx="28">
                  <c:v>364838.8616928965</c:v>
                </c:pt>
                <c:pt idx="29">
                  <c:v>369630.8170993864</c:v>
                </c:pt>
                <c:pt idx="30">
                  <c:v>390586.6947908814</c:v>
                </c:pt>
                <c:pt idx="31">
                  <c:v>405308.7168187648</c:v>
                </c:pt>
                <c:pt idx="32">
                  <c:v>424107.2325060743</c:v>
                </c:pt>
                <c:pt idx="33">
                  <c:v>413647.3989854163</c:v>
                </c:pt>
                <c:pt idx="34">
                  <c:v>417646.8964857525</c:v>
                </c:pt>
                <c:pt idx="35">
                  <c:v>418214.3471915185</c:v>
                </c:pt>
                <c:pt idx="36">
                  <c:v>445249.201825908</c:v>
                </c:pt>
                <c:pt idx="37">
                  <c:v>442786.178004047</c:v>
                </c:pt>
                <c:pt idx="38">
                  <c:v>442771.7614140668</c:v>
                </c:pt>
                <c:pt idx="39">
                  <c:v>442393.9284147073</c:v>
                </c:pt>
                <c:pt idx="40">
                  <c:v>442539.0027501406</c:v>
                </c:pt>
                <c:pt idx="41">
                  <c:v>468295.486983965</c:v>
                </c:pt>
                <c:pt idx="42">
                  <c:v>464201.4203251043</c:v>
                </c:pt>
                <c:pt idx="43">
                  <c:v>478854.854808472</c:v>
                </c:pt>
                <c:pt idx="44">
                  <c:v>476699.0490216583</c:v>
                </c:pt>
                <c:pt idx="45">
                  <c:v>480925.1861128194</c:v>
                </c:pt>
                <c:pt idx="46">
                  <c:v>486423.5913364954</c:v>
                </c:pt>
                <c:pt idx="47">
                  <c:v>485975.2229813413</c:v>
                </c:pt>
                <c:pt idx="48">
                  <c:v>483125.0045905189</c:v>
                </c:pt>
                <c:pt idx="49">
                  <c:v>485529.8821368245</c:v>
                </c:pt>
                <c:pt idx="50">
                  <c:v>485593.2394321711</c:v>
                </c:pt>
                <c:pt idx="51">
                  <c:v>487146.2937738377</c:v>
                </c:pt>
                <c:pt idx="52">
                  <c:v>484264.6513928408</c:v>
                </c:pt>
                <c:pt idx="53">
                  <c:v>482591.6846015378</c:v>
                </c:pt>
                <c:pt idx="54">
                  <c:v>486691.8667855418</c:v>
                </c:pt>
                <c:pt idx="55">
                  <c:v>484005.9502550198</c:v>
                </c:pt>
                <c:pt idx="56">
                  <c:v>501318.5546021065</c:v>
                </c:pt>
                <c:pt idx="57">
                  <c:v>501129.7871116536</c:v>
                </c:pt>
                <c:pt idx="58">
                  <c:v>503759.573204768</c:v>
                </c:pt>
                <c:pt idx="59">
                  <c:v>489465.724200816</c:v>
                </c:pt>
                <c:pt idx="60">
                  <c:v>489461.1875697265</c:v>
                </c:pt>
                <c:pt idx="61">
                  <c:v>488933.5980214286</c:v>
                </c:pt>
                <c:pt idx="62">
                  <c:v>497596.0917923698</c:v>
                </c:pt>
                <c:pt idx="63">
                  <c:v>494827.1273144281</c:v>
                </c:pt>
                <c:pt idx="64">
                  <c:v>499283.3665145595</c:v>
                </c:pt>
                <c:pt idx="65">
                  <c:v>502655.2105764647</c:v>
                </c:pt>
                <c:pt idx="66">
                  <c:v>504182.9094482203</c:v>
                </c:pt>
                <c:pt idx="67">
                  <c:v>504001.1843145948</c:v>
                </c:pt>
                <c:pt idx="68">
                  <c:v>515604.295439364</c:v>
                </c:pt>
                <c:pt idx="69">
                  <c:v>524680.2093405866</c:v>
                </c:pt>
                <c:pt idx="70">
                  <c:v>525182.2608023498</c:v>
                </c:pt>
                <c:pt idx="71">
                  <c:v>527669.4947377471</c:v>
                </c:pt>
                <c:pt idx="72">
                  <c:v>530181.734065415</c:v>
                </c:pt>
                <c:pt idx="73">
                  <c:v>530723.4659886817</c:v>
                </c:pt>
                <c:pt idx="74">
                  <c:v>534124.4694362196</c:v>
                </c:pt>
                <c:pt idx="75">
                  <c:v>538997.4179538376</c:v>
                </c:pt>
                <c:pt idx="76">
                  <c:v>541948.8583668323</c:v>
                </c:pt>
                <c:pt idx="77">
                  <c:v>550807.3964063227</c:v>
                </c:pt>
                <c:pt idx="78">
                  <c:v>553490.3611277794</c:v>
                </c:pt>
                <c:pt idx="79">
                  <c:v>552678.9418412585</c:v>
                </c:pt>
                <c:pt idx="80">
                  <c:v>550670.759055513</c:v>
                </c:pt>
                <c:pt idx="81">
                  <c:v>555727.5770597137</c:v>
                </c:pt>
                <c:pt idx="82">
                  <c:v>553485.4616403144</c:v>
                </c:pt>
                <c:pt idx="83">
                  <c:v>548397.0448661026</c:v>
                </c:pt>
                <c:pt idx="84">
                  <c:v>544959.5587222992</c:v>
                </c:pt>
                <c:pt idx="85">
                  <c:v>545024.9351724199</c:v>
                </c:pt>
                <c:pt idx="86">
                  <c:v>544999.4851019979</c:v>
                </c:pt>
                <c:pt idx="87">
                  <c:v>544076.3194456821</c:v>
                </c:pt>
                <c:pt idx="88">
                  <c:v>537590.964324821</c:v>
                </c:pt>
                <c:pt idx="89">
                  <c:v>530893.2554832573</c:v>
                </c:pt>
                <c:pt idx="90">
                  <c:v>514487.9547845531</c:v>
                </c:pt>
                <c:pt idx="91">
                  <c:v>504206.6014943107</c:v>
                </c:pt>
                <c:pt idx="92">
                  <c:v>486773.6933022534</c:v>
                </c:pt>
                <c:pt idx="93">
                  <c:v>486200.600420075</c:v>
                </c:pt>
                <c:pt idx="94">
                  <c:v>480733.3661033263</c:v>
                </c:pt>
                <c:pt idx="95">
                  <c:v>477994.0037640677</c:v>
                </c:pt>
                <c:pt idx="96">
                  <c:v>444960.1240149377</c:v>
                </c:pt>
                <c:pt idx="97">
                  <c:v>451185.5967028302</c:v>
                </c:pt>
                <c:pt idx="98">
                  <c:v>451762.3237658137</c:v>
                </c:pt>
                <c:pt idx="99">
                  <c:v>453422.9738433431</c:v>
                </c:pt>
                <c:pt idx="100">
                  <c:v>454864.9505235889</c:v>
                </c:pt>
                <c:pt idx="101">
                  <c:v>425938.9433211884</c:v>
                </c:pt>
                <c:pt idx="102">
                  <c:v>430755.9381649603</c:v>
                </c:pt>
                <c:pt idx="103">
                  <c:v>413879.5251936276</c:v>
                </c:pt>
                <c:pt idx="104">
                  <c:v>467949.7993136464</c:v>
                </c:pt>
                <c:pt idx="105">
                  <c:v>474067.0843932175</c:v>
                </c:pt>
                <c:pt idx="106">
                  <c:v>474766.08760387</c:v>
                </c:pt>
                <c:pt idx="107">
                  <c:v>478901.8430357876</c:v>
                </c:pt>
                <c:pt idx="108">
                  <c:v>492433.8748323691</c:v>
                </c:pt>
                <c:pt idx="109">
                  <c:v>490127.4342507445</c:v>
                </c:pt>
                <c:pt idx="110">
                  <c:v>490140.3172570666</c:v>
                </c:pt>
                <c:pt idx="111">
                  <c:v>490946.8449494225</c:v>
                </c:pt>
                <c:pt idx="112">
                  <c:v>494123.168238781</c:v>
                </c:pt>
                <c:pt idx="113">
                  <c:v>497443.7706623015</c:v>
                </c:pt>
                <c:pt idx="114">
                  <c:v>521822.8025115306</c:v>
                </c:pt>
                <c:pt idx="115">
                  <c:v>551882.332877001</c:v>
                </c:pt>
                <c:pt idx="116">
                  <c:v>575818.683390592</c:v>
                </c:pt>
                <c:pt idx="117">
                  <c:v>601745.3580574587</c:v>
                </c:pt>
                <c:pt idx="118">
                  <c:v>611663.5816678643</c:v>
                </c:pt>
                <c:pt idx="119">
                  <c:v>626045.1693858443</c:v>
                </c:pt>
                <c:pt idx="120">
                  <c:v>654703.36705334</c:v>
                </c:pt>
                <c:pt idx="121">
                  <c:v>653266.3896685601</c:v>
                </c:pt>
                <c:pt idx="122">
                  <c:v>650168.4129067813</c:v>
                </c:pt>
                <c:pt idx="123">
                  <c:v>650989.0489367385</c:v>
                </c:pt>
                <c:pt idx="124">
                  <c:v>650047.1314725216</c:v>
                </c:pt>
                <c:pt idx="125">
                  <c:v>651958.827252542</c:v>
                </c:pt>
                <c:pt idx="126">
                  <c:v>652135.1376367965</c:v>
                </c:pt>
                <c:pt idx="127">
                  <c:v>653829.8151325003</c:v>
                </c:pt>
                <c:pt idx="128">
                  <c:v>645146.8932441914</c:v>
                </c:pt>
                <c:pt idx="129">
                  <c:v>639522.9059679736</c:v>
                </c:pt>
                <c:pt idx="130">
                  <c:v>651813.9227059301</c:v>
                </c:pt>
                <c:pt idx="131">
                  <c:v>647629.5648533828</c:v>
                </c:pt>
                <c:pt idx="132">
                  <c:v>645371.9106523266</c:v>
                </c:pt>
                <c:pt idx="133">
                  <c:v>644382.1293519266</c:v>
                </c:pt>
                <c:pt idx="134">
                  <c:v>643969.7536421474</c:v>
                </c:pt>
                <c:pt idx="135">
                  <c:v>647384.5093414824</c:v>
                </c:pt>
                <c:pt idx="136">
                  <c:v>647303.693043408</c:v>
                </c:pt>
                <c:pt idx="137">
                  <c:v>638354.3472912528</c:v>
                </c:pt>
                <c:pt idx="138">
                  <c:v>660616.3770104467</c:v>
                </c:pt>
                <c:pt idx="139">
                  <c:v>670873.4838795873</c:v>
                </c:pt>
                <c:pt idx="140">
                  <c:v>699350.600639562</c:v>
                </c:pt>
                <c:pt idx="141">
                  <c:v>694051.398056548</c:v>
                </c:pt>
                <c:pt idx="142">
                  <c:v>705096.3978375757</c:v>
                </c:pt>
                <c:pt idx="143">
                  <c:v>709044.7993199902</c:v>
                </c:pt>
                <c:pt idx="144">
                  <c:v>708688.9797942091</c:v>
                </c:pt>
                <c:pt idx="145">
                  <c:v>708870.018235163</c:v>
                </c:pt>
                <c:pt idx="146">
                  <c:v>709200.056124003</c:v>
                </c:pt>
                <c:pt idx="147">
                  <c:v>708999.6314687498</c:v>
                </c:pt>
                <c:pt idx="148">
                  <c:v>708631.4873519227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'Month S&amp;P'!$O$2</c:f>
              <c:strCache>
                <c:ptCount val="1"/>
                <c:pt idx="0">
                  <c:v>Rolling 5 Year_x000d_Profit LCL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'Month S&amp;P'!$A$132:$A$280</c:f>
              <c:numCache>
                <c:formatCode>mmm\-yy</c:formatCode>
                <c:ptCount val="149"/>
                <c:pt idx="0">
                  <c:v>34607.0</c:v>
                </c:pt>
                <c:pt idx="1">
                  <c:v>34638.0</c:v>
                </c:pt>
                <c:pt idx="2">
                  <c:v>34668.0</c:v>
                </c:pt>
                <c:pt idx="3">
                  <c:v>34699.0</c:v>
                </c:pt>
                <c:pt idx="4">
                  <c:v>34730.0</c:v>
                </c:pt>
                <c:pt idx="5">
                  <c:v>34758.0</c:v>
                </c:pt>
                <c:pt idx="6">
                  <c:v>34789.0</c:v>
                </c:pt>
                <c:pt idx="7">
                  <c:v>34819.0</c:v>
                </c:pt>
                <c:pt idx="8">
                  <c:v>34850.0</c:v>
                </c:pt>
                <c:pt idx="9">
                  <c:v>34880.0</c:v>
                </c:pt>
                <c:pt idx="10">
                  <c:v>34911.0</c:v>
                </c:pt>
                <c:pt idx="11">
                  <c:v>34942.0</c:v>
                </c:pt>
                <c:pt idx="12">
                  <c:v>34972.0</c:v>
                </c:pt>
                <c:pt idx="13">
                  <c:v>35003.0</c:v>
                </c:pt>
                <c:pt idx="14">
                  <c:v>35033.0</c:v>
                </c:pt>
                <c:pt idx="15">
                  <c:v>35064.0</c:v>
                </c:pt>
                <c:pt idx="16">
                  <c:v>35095.0</c:v>
                </c:pt>
                <c:pt idx="17">
                  <c:v>35124.0</c:v>
                </c:pt>
                <c:pt idx="18">
                  <c:v>35155.0</c:v>
                </c:pt>
                <c:pt idx="19">
                  <c:v>35185.0</c:v>
                </c:pt>
                <c:pt idx="20">
                  <c:v>35216.0</c:v>
                </c:pt>
                <c:pt idx="21">
                  <c:v>35246.0</c:v>
                </c:pt>
                <c:pt idx="22">
                  <c:v>35277.0</c:v>
                </c:pt>
                <c:pt idx="23">
                  <c:v>35308.0</c:v>
                </c:pt>
                <c:pt idx="24">
                  <c:v>35338.0</c:v>
                </c:pt>
                <c:pt idx="25">
                  <c:v>35369.0</c:v>
                </c:pt>
                <c:pt idx="26">
                  <c:v>35399.0</c:v>
                </c:pt>
                <c:pt idx="27">
                  <c:v>35430.0</c:v>
                </c:pt>
                <c:pt idx="28">
                  <c:v>35461.0</c:v>
                </c:pt>
                <c:pt idx="29">
                  <c:v>35489.0</c:v>
                </c:pt>
                <c:pt idx="30">
                  <c:v>35520.0</c:v>
                </c:pt>
                <c:pt idx="31">
                  <c:v>35550.0</c:v>
                </c:pt>
                <c:pt idx="32">
                  <c:v>35581.0</c:v>
                </c:pt>
                <c:pt idx="33">
                  <c:v>35611.0</c:v>
                </c:pt>
                <c:pt idx="34">
                  <c:v>35642.0</c:v>
                </c:pt>
                <c:pt idx="35">
                  <c:v>35673.0</c:v>
                </c:pt>
                <c:pt idx="36">
                  <c:v>35703.0</c:v>
                </c:pt>
                <c:pt idx="37">
                  <c:v>35734.0</c:v>
                </c:pt>
                <c:pt idx="38">
                  <c:v>35764.0</c:v>
                </c:pt>
                <c:pt idx="39">
                  <c:v>35795.0</c:v>
                </c:pt>
                <c:pt idx="40">
                  <c:v>35826.0</c:v>
                </c:pt>
                <c:pt idx="41">
                  <c:v>35854.0</c:v>
                </c:pt>
                <c:pt idx="42">
                  <c:v>35885.0</c:v>
                </c:pt>
                <c:pt idx="43">
                  <c:v>35915.0</c:v>
                </c:pt>
                <c:pt idx="44">
                  <c:v>35946.0</c:v>
                </c:pt>
                <c:pt idx="45">
                  <c:v>35976.0</c:v>
                </c:pt>
                <c:pt idx="46">
                  <c:v>36008.0</c:v>
                </c:pt>
                <c:pt idx="47">
                  <c:v>36039.0</c:v>
                </c:pt>
                <c:pt idx="48">
                  <c:v>36069.0</c:v>
                </c:pt>
                <c:pt idx="49">
                  <c:v>36100.0</c:v>
                </c:pt>
                <c:pt idx="50">
                  <c:v>36130.0</c:v>
                </c:pt>
                <c:pt idx="51">
                  <c:v>36161.0</c:v>
                </c:pt>
                <c:pt idx="52">
                  <c:v>36192.0</c:v>
                </c:pt>
                <c:pt idx="53">
                  <c:v>36220.0</c:v>
                </c:pt>
                <c:pt idx="54">
                  <c:v>36251.0</c:v>
                </c:pt>
                <c:pt idx="55">
                  <c:v>36281.0</c:v>
                </c:pt>
                <c:pt idx="56">
                  <c:v>36312.0</c:v>
                </c:pt>
                <c:pt idx="57">
                  <c:v>36342.0</c:v>
                </c:pt>
                <c:pt idx="58">
                  <c:v>36373.0</c:v>
                </c:pt>
                <c:pt idx="59">
                  <c:v>36404.0</c:v>
                </c:pt>
                <c:pt idx="60">
                  <c:v>36434.0</c:v>
                </c:pt>
                <c:pt idx="61">
                  <c:v>36465.0</c:v>
                </c:pt>
                <c:pt idx="62">
                  <c:v>36495.0</c:v>
                </c:pt>
                <c:pt idx="63">
                  <c:v>36526.0</c:v>
                </c:pt>
                <c:pt idx="64">
                  <c:v>36557.0</c:v>
                </c:pt>
                <c:pt idx="65">
                  <c:v>36585.0</c:v>
                </c:pt>
                <c:pt idx="66">
                  <c:v>36619.0</c:v>
                </c:pt>
                <c:pt idx="67">
                  <c:v>36650.0</c:v>
                </c:pt>
                <c:pt idx="68">
                  <c:v>36682.0</c:v>
                </c:pt>
                <c:pt idx="69">
                  <c:v>36736.0</c:v>
                </c:pt>
                <c:pt idx="70">
                  <c:v>36768.0</c:v>
                </c:pt>
                <c:pt idx="71">
                  <c:v>36798.0</c:v>
                </c:pt>
                <c:pt idx="72">
                  <c:v>36828.0</c:v>
                </c:pt>
                <c:pt idx="73">
                  <c:v>36859.0</c:v>
                </c:pt>
                <c:pt idx="74">
                  <c:v>36889.0</c:v>
                </c:pt>
                <c:pt idx="75">
                  <c:v>36920.0</c:v>
                </c:pt>
                <c:pt idx="76">
                  <c:v>36949.0</c:v>
                </c:pt>
                <c:pt idx="77">
                  <c:v>36979.0</c:v>
                </c:pt>
                <c:pt idx="78">
                  <c:v>37010.0</c:v>
                </c:pt>
                <c:pt idx="79">
                  <c:v>37040.0</c:v>
                </c:pt>
                <c:pt idx="80">
                  <c:v>37071.0</c:v>
                </c:pt>
                <c:pt idx="81">
                  <c:v>37101.0</c:v>
                </c:pt>
                <c:pt idx="82">
                  <c:v>37132.0</c:v>
                </c:pt>
                <c:pt idx="83">
                  <c:v>37163.0</c:v>
                </c:pt>
                <c:pt idx="84">
                  <c:v>37193.0</c:v>
                </c:pt>
                <c:pt idx="85">
                  <c:v>37224.0</c:v>
                </c:pt>
                <c:pt idx="86">
                  <c:v>37254.0</c:v>
                </c:pt>
                <c:pt idx="87">
                  <c:v>37285.0</c:v>
                </c:pt>
                <c:pt idx="88">
                  <c:v>37314.0</c:v>
                </c:pt>
                <c:pt idx="89">
                  <c:v>37342.0</c:v>
                </c:pt>
                <c:pt idx="90">
                  <c:v>37373.0</c:v>
                </c:pt>
                <c:pt idx="91">
                  <c:v>37403.0</c:v>
                </c:pt>
                <c:pt idx="92">
                  <c:v>37434.0</c:v>
                </c:pt>
                <c:pt idx="93">
                  <c:v>37464.0</c:v>
                </c:pt>
                <c:pt idx="94">
                  <c:v>37495.0</c:v>
                </c:pt>
                <c:pt idx="95">
                  <c:v>37526.0</c:v>
                </c:pt>
                <c:pt idx="96">
                  <c:v>37556.0</c:v>
                </c:pt>
                <c:pt idx="97">
                  <c:v>37587.0</c:v>
                </c:pt>
                <c:pt idx="98">
                  <c:v>37617.0</c:v>
                </c:pt>
                <c:pt idx="99">
                  <c:v>37648.0</c:v>
                </c:pt>
                <c:pt idx="100">
                  <c:v>37679.0</c:v>
                </c:pt>
                <c:pt idx="101">
                  <c:v>37707.0</c:v>
                </c:pt>
                <c:pt idx="102">
                  <c:v>37738.0</c:v>
                </c:pt>
                <c:pt idx="103">
                  <c:v>37768.0</c:v>
                </c:pt>
                <c:pt idx="104">
                  <c:v>37799.0</c:v>
                </c:pt>
                <c:pt idx="105">
                  <c:v>37829.0</c:v>
                </c:pt>
                <c:pt idx="106">
                  <c:v>37860.0</c:v>
                </c:pt>
                <c:pt idx="107">
                  <c:v>37891.0</c:v>
                </c:pt>
                <c:pt idx="108">
                  <c:v>37921.0</c:v>
                </c:pt>
                <c:pt idx="109">
                  <c:v>37952.0</c:v>
                </c:pt>
                <c:pt idx="110">
                  <c:v>37982.0</c:v>
                </c:pt>
                <c:pt idx="111">
                  <c:v>38013.0</c:v>
                </c:pt>
                <c:pt idx="112">
                  <c:v>38044.0</c:v>
                </c:pt>
                <c:pt idx="113">
                  <c:v>38073.0</c:v>
                </c:pt>
                <c:pt idx="114">
                  <c:v>38104.0</c:v>
                </c:pt>
                <c:pt idx="115">
                  <c:v>38134.0</c:v>
                </c:pt>
                <c:pt idx="116">
                  <c:v>38165.0</c:v>
                </c:pt>
                <c:pt idx="117">
                  <c:v>38195.0</c:v>
                </c:pt>
                <c:pt idx="118">
                  <c:v>38226.0</c:v>
                </c:pt>
                <c:pt idx="119">
                  <c:v>38257.0</c:v>
                </c:pt>
                <c:pt idx="120">
                  <c:v>38287.0</c:v>
                </c:pt>
                <c:pt idx="121">
                  <c:v>38318.0</c:v>
                </c:pt>
                <c:pt idx="122">
                  <c:v>38348.0</c:v>
                </c:pt>
                <c:pt idx="123">
                  <c:v>38379.0</c:v>
                </c:pt>
                <c:pt idx="124">
                  <c:v>38410.0</c:v>
                </c:pt>
                <c:pt idx="125">
                  <c:v>38438.0</c:v>
                </c:pt>
                <c:pt idx="126">
                  <c:v>38469.0</c:v>
                </c:pt>
                <c:pt idx="127">
                  <c:v>38499.0</c:v>
                </c:pt>
                <c:pt idx="128">
                  <c:v>38530.0</c:v>
                </c:pt>
                <c:pt idx="129">
                  <c:v>38560.0</c:v>
                </c:pt>
                <c:pt idx="130">
                  <c:v>38591.0</c:v>
                </c:pt>
                <c:pt idx="131">
                  <c:v>38622.0</c:v>
                </c:pt>
                <c:pt idx="132">
                  <c:v>38652.0</c:v>
                </c:pt>
                <c:pt idx="133">
                  <c:v>38683.0</c:v>
                </c:pt>
                <c:pt idx="134">
                  <c:v>38713.0</c:v>
                </c:pt>
                <c:pt idx="135">
                  <c:v>38744.0</c:v>
                </c:pt>
                <c:pt idx="136">
                  <c:v>38775.0</c:v>
                </c:pt>
                <c:pt idx="137">
                  <c:v>38803.0</c:v>
                </c:pt>
                <c:pt idx="138">
                  <c:v>38834.0</c:v>
                </c:pt>
                <c:pt idx="139">
                  <c:v>38864.0</c:v>
                </c:pt>
                <c:pt idx="140">
                  <c:v>38895.0</c:v>
                </c:pt>
                <c:pt idx="141">
                  <c:v>38925.0</c:v>
                </c:pt>
                <c:pt idx="142">
                  <c:v>38956.0</c:v>
                </c:pt>
                <c:pt idx="143">
                  <c:v>38987.0</c:v>
                </c:pt>
                <c:pt idx="144">
                  <c:v>39017.0</c:v>
                </c:pt>
                <c:pt idx="145">
                  <c:v>39048.0</c:v>
                </c:pt>
                <c:pt idx="146">
                  <c:v>39078.0</c:v>
                </c:pt>
                <c:pt idx="147">
                  <c:v>39109.0</c:v>
                </c:pt>
                <c:pt idx="148">
                  <c:v>39140.0</c:v>
                </c:pt>
              </c:numCache>
            </c:numRef>
          </c:cat>
          <c:val>
            <c:numRef>
              <c:f>'Month S&amp;P'!$O$132:$O$280</c:f>
              <c:numCache>
                <c:formatCode>#,##0_);[Red]\(#,##0\)</c:formatCode>
                <c:ptCount val="149"/>
                <c:pt idx="0">
                  <c:v>-357426.3617902208</c:v>
                </c:pt>
                <c:pt idx="1">
                  <c:v>-356505.3644484007</c:v>
                </c:pt>
                <c:pt idx="2">
                  <c:v>-356538.4087152227</c:v>
                </c:pt>
                <c:pt idx="3">
                  <c:v>-346812.165233308</c:v>
                </c:pt>
                <c:pt idx="4">
                  <c:v>-343389.9521755181</c:v>
                </c:pt>
                <c:pt idx="5">
                  <c:v>-346578.775712002</c:v>
                </c:pt>
                <c:pt idx="6">
                  <c:v>-345399.7734103</c:v>
                </c:pt>
                <c:pt idx="7">
                  <c:v>-339847.2766991635</c:v>
                </c:pt>
                <c:pt idx="8">
                  <c:v>-333354.7725765574</c:v>
                </c:pt>
                <c:pt idx="9">
                  <c:v>-330568.9800341835</c:v>
                </c:pt>
                <c:pt idx="10">
                  <c:v>-330190.2987347355</c:v>
                </c:pt>
                <c:pt idx="11">
                  <c:v>-328963.7230815258</c:v>
                </c:pt>
                <c:pt idx="12">
                  <c:v>-330688.5048936355</c:v>
                </c:pt>
                <c:pt idx="13">
                  <c:v>-325858.7201043355</c:v>
                </c:pt>
                <c:pt idx="14">
                  <c:v>-325898.8360144451</c:v>
                </c:pt>
                <c:pt idx="15">
                  <c:v>-312229.2710782926</c:v>
                </c:pt>
                <c:pt idx="16">
                  <c:v>-310332.5082281452</c:v>
                </c:pt>
                <c:pt idx="17">
                  <c:v>-313293.4937315292</c:v>
                </c:pt>
                <c:pt idx="18">
                  <c:v>-303958.3158532908</c:v>
                </c:pt>
                <c:pt idx="19">
                  <c:v>-312827.083129744</c:v>
                </c:pt>
                <c:pt idx="20">
                  <c:v>-311753.0170056796</c:v>
                </c:pt>
                <c:pt idx="21">
                  <c:v>-308518.9547484388</c:v>
                </c:pt>
                <c:pt idx="22">
                  <c:v>-305333.3734655154</c:v>
                </c:pt>
                <c:pt idx="23">
                  <c:v>-306908.6826480194</c:v>
                </c:pt>
                <c:pt idx="24">
                  <c:v>-305462.6053469563</c:v>
                </c:pt>
                <c:pt idx="25">
                  <c:v>-306246.805073282</c:v>
                </c:pt>
                <c:pt idx="26">
                  <c:v>-295854.6817135184</c:v>
                </c:pt>
                <c:pt idx="27">
                  <c:v>-288128.9343330097</c:v>
                </c:pt>
                <c:pt idx="28">
                  <c:v>-290772.6233595631</c:v>
                </c:pt>
                <c:pt idx="29">
                  <c:v>-279133.0790327197</c:v>
                </c:pt>
                <c:pt idx="30">
                  <c:v>-285609.6247242147</c:v>
                </c:pt>
                <c:pt idx="31">
                  <c:v>-292458.2840854315</c:v>
                </c:pt>
                <c:pt idx="32">
                  <c:v>-296256.7356060743</c:v>
                </c:pt>
                <c:pt idx="33">
                  <c:v>-273255.3779187496</c:v>
                </c:pt>
                <c:pt idx="34">
                  <c:v>-272099.3962524191</c:v>
                </c:pt>
                <c:pt idx="35">
                  <c:v>-271827.3949581853</c:v>
                </c:pt>
                <c:pt idx="36">
                  <c:v>-269283.2946592413</c:v>
                </c:pt>
                <c:pt idx="37">
                  <c:v>-270690.3452373803</c:v>
                </c:pt>
                <c:pt idx="38">
                  <c:v>-282318.3526474002</c:v>
                </c:pt>
                <c:pt idx="39">
                  <c:v>-286830.2752147074</c:v>
                </c:pt>
                <c:pt idx="40">
                  <c:v>-286150.3769168073</c:v>
                </c:pt>
                <c:pt idx="41">
                  <c:v>-294464.4498172984</c:v>
                </c:pt>
                <c:pt idx="42">
                  <c:v>-282532.1987251042</c:v>
                </c:pt>
                <c:pt idx="43">
                  <c:v>-285242.6035751386</c:v>
                </c:pt>
                <c:pt idx="44">
                  <c:v>-275567.7073549916</c:v>
                </c:pt>
                <c:pt idx="45">
                  <c:v>-284419.207079486</c:v>
                </c:pt>
                <c:pt idx="46">
                  <c:v>-299307.9664364953</c:v>
                </c:pt>
                <c:pt idx="47">
                  <c:v>-300973.994548008</c:v>
                </c:pt>
                <c:pt idx="48">
                  <c:v>-306332.992590519</c:v>
                </c:pt>
                <c:pt idx="49">
                  <c:v>-304607.1484701578</c:v>
                </c:pt>
                <c:pt idx="50">
                  <c:v>-308737.8394321711</c:v>
                </c:pt>
                <c:pt idx="51">
                  <c:v>-318945.927107171</c:v>
                </c:pt>
                <c:pt idx="52">
                  <c:v>-308414.2180595075</c:v>
                </c:pt>
                <c:pt idx="53">
                  <c:v>-302097.8846015378</c:v>
                </c:pt>
                <c:pt idx="54">
                  <c:v>-297825.5001188751</c:v>
                </c:pt>
                <c:pt idx="55">
                  <c:v>-281182.8502550198</c:v>
                </c:pt>
                <c:pt idx="56">
                  <c:v>-283257.3212687733</c:v>
                </c:pt>
                <c:pt idx="57">
                  <c:v>-281873.620444987</c:v>
                </c:pt>
                <c:pt idx="58">
                  <c:v>-273091.3065381014</c:v>
                </c:pt>
                <c:pt idx="59">
                  <c:v>-237207.1575341494</c:v>
                </c:pt>
                <c:pt idx="60">
                  <c:v>-242134.3209030599</c:v>
                </c:pt>
                <c:pt idx="61">
                  <c:v>-242558.9980214286</c:v>
                </c:pt>
                <c:pt idx="62">
                  <c:v>-260838.8251257032</c:v>
                </c:pt>
                <c:pt idx="63">
                  <c:v>-266984.9606477614</c:v>
                </c:pt>
                <c:pt idx="64">
                  <c:v>-276745.3665145595</c:v>
                </c:pt>
                <c:pt idx="65">
                  <c:v>-277749.9439097981</c:v>
                </c:pt>
                <c:pt idx="66">
                  <c:v>-285100.076114887</c:v>
                </c:pt>
                <c:pt idx="67">
                  <c:v>-293942.9843145948</c:v>
                </c:pt>
                <c:pt idx="68">
                  <c:v>-294268.3287726974</c:v>
                </c:pt>
                <c:pt idx="69">
                  <c:v>-321801.0760072533</c:v>
                </c:pt>
                <c:pt idx="70">
                  <c:v>-329413.46080235</c:v>
                </c:pt>
                <c:pt idx="71">
                  <c:v>-329412.4280710804</c:v>
                </c:pt>
                <c:pt idx="72">
                  <c:v>-323634.234065415</c:v>
                </c:pt>
                <c:pt idx="73">
                  <c:v>-332850.4326553484</c:v>
                </c:pt>
                <c:pt idx="74">
                  <c:v>-343200.502769553</c:v>
                </c:pt>
                <c:pt idx="75">
                  <c:v>-360657.6846205043</c:v>
                </c:pt>
                <c:pt idx="76">
                  <c:v>-376202.0917001656</c:v>
                </c:pt>
                <c:pt idx="77">
                  <c:v>-379832.4964063227</c:v>
                </c:pt>
                <c:pt idx="78">
                  <c:v>-376143.9611277795</c:v>
                </c:pt>
                <c:pt idx="79">
                  <c:v>-375720.6418412586</c:v>
                </c:pt>
                <c:pt idx="80">
                  <c:v>-375558.0257221798</c:v>
                </c:pt>
                <c:pt idx="81">
                  <c:v>-396996.3103930471</c:v>
                </c:pt>
                <c:pt idx="82">
                  <c:v>-398518.1949736478</c:v>
                </c:pt>
                <c:pt idx="83">
                  <c:v>-399248.0448661026</c:v>
                </c:pt>
                <c:pt idx="84">
                  <c:v>-404749.825388966</c:v>
                </c:pt>
                <c:pt idx="85">
                  <c:v>-405669.6351724198</c:v>
                </c:pt>
                <c:pt idx="86">
                  <c:v>-410575.3851019978</c:v>
                </c:pt>
                <c:pt idx="87">
                  <c:v>-414113.8527790154</c:v>
                </c:pt>
                <c:pt idx="88">
                  <c:v>-414189.8309914876</c:v>
                </c:pt>
                <c:pt idx="89">
                  <c:v>-416003.022149924</c:v>
                </c:pt>
                <c:pt idx="90">
                  <c:v>-413279.3881178865</c:v>
                </c:pt>
                <c:pt idx="91">
                  <c:v>-409204.2681609773</c:v>
                </c:pt>
                <c:pt idx="92">
                  <c:v>-406528.5933022535</c:v>
                </c:pt>
                <c:pt idx="93">
                  <c:v>-410446.100420075</c:v>
                </c:pt>
                <c:pt idx="94">
                  <c:v>-414906.8661033263</c:v>
                </c:pt>
                <c:pt idx="95">
                  <c:v>-417379.8037640678</c:v>
                </c:pt>
                <c:pt idx="96">
                  <c:v>-400792.4573482711</c:v>
                </c:pt>
                <c:pt idx="97">
                  <c:v>-401155.6967028301</c:v>
                </c:pt>
                <c:pt idx="98">
                  <c:v>-402781.9904324803</c:v>
                </c:pt>
                <c:pt idx="99">
                  <c:v>-409711.3405100098</c:v>
                </c:pt>
                <c:pt idx="100">
                  <c:v>-421188.8171902556</c:v>
                </c:pt>
                <c:pt idx="101">
                  <c:v>-408827.7766545218</c:v>
                </c:pt>
                <c:pt idx="102">
                  <c:v>-408389.6381649603</c:v>
                </c:pt>
                <c:pt idx="103">
                  <c:v>-401139.7251936275</c:v>
                </c:pt>
                <c:pt idx="104">
                  <c:v>-432414.4993136464</c:v>
                </c:pt>
                <c:pt idx="105">
                  <c:v>-423053.8843932175</c:v>
                </c:pt>
                <c:pt idx="106">
                  <c:v>-411526.1542705366</c:v>
                </c:pt>
                <c:pt idx="107">
                  <c:v>-410165.8097024543</c:v>
                </c:pt>
                <c:pt idx="108">
                  <c:v>-409932.7081657025</c:v>
                </c:pt>
                <c:pt idx="109">
                  <c:v>-410194.3009174112</c:v>
                </c:pt>
                <c:pt idx="110">
                  <c:v>-409720.9839237332</c:v>
                </c:pt>
                <c:pt idx="111">
                  <c:v>-401865.0782827558</c:v>
                </c:pt>
                <c:pt idx="112">
                  <c:v>-400643.1015721143</c:v>
                </c:pt>
                <c:pt idx="113">
                  <c:v>-398552.4373289681</c:v>
                </c:pt>
                <c:pt idx="114">
                  <c:v>-410916.8025115306</c:v>
                </c:pt>
                <c:pt idx="115">
                  <c:v>-425713.4995436675</c:v>
                </c:pt>
                <c:pt idx="116">
                  <c:v>-440595.983390592</c:v>
                </c:pt>
                <c:pt idx="117">
                  <c:v>-447327.9913907921</c:v>
                </c:pt>
                <c:pt idx="118">
                  <c:v>-450534.948334531</c:v>
                </c:pt>
                <c:pt idx="119">
                  <c:v>-455796.1027191777</c:v>
                </c:pt>
                <c:pt idx="120">
                  <c:v>-461925.6003866735</c:v>
                </c:pt>
                <c:pt idx="121">
                  <c:v>-464298.0563352268</c:v>
                </c:pt>
                <c:pt idx="122">
                  <c:v>-455892.679573448</c:v>
                </c:pt>
                <c:pt idx="123">
                  <c:v>-460166.2156034052</c:v>
                </c:pt>
                <c:pt idx="124">
                  <c:v>-448672.5981391884</c:v>
                </c:pt>
                <c:pt idx="125">
                  <c:v>-449219.827252542</c:v>
                </c:pt>
                <c:pt idx="126">
                  <c:v>-442815.4376367966</c:v>
                </c:pt>
                <c:pt idx="127">
                  <c:v>-447785.7817991671</c:v>
                </c:pt>
                <c:pt idx="128">
                  <c:v>-446983.7932441914</c:v>
                </c:pt>
                <c:pt idx="129">
                  <c:v>-424268.9059679736</c:v>
                </c:pt>
                <c:pt idx="130">
                  <c:v>-417887.1227059301</c:v>
                </c:pt>
                <c:pt idx="131">
                  <c:v>-421737.6315200495</c:v>
                </c:pt>
                <c:pt idx="132">
                  <c:v>-429003.74398566</c:v>
                </c:pt>
                <c:pt idx="133">
                  <c:v>-424049.4293519266</c:v>
                </c:pt>
                <c:pt idx="134">
                  <c:v>-423065.0869754807</c:v>
                </c:pt>
                <c:pt idx="135">
                  <c:v>-429368.1426748157</c:v>
                </c:pt>
                <c:pt idx="136">
                  <c:v>-429199.0597100747</c:v>
                </c:pt>
                <c:pt idx="137">
                  <c:v>-444690.3139579195</c:v>
                </c:pt>
                <c:pt idx="138">
                  <c:v>-452502.4103437801</c:v>
                </c:pt>
                <c:pt idx="139">
                  <c:v>-457666.2505462538</c:v>
                </c:pt>
                <c:pt idx="140">
                  <c:v>-469300.6673062287</c:v>
                </c:pt>
                <c:pt idx="141">
                  <c:v>-448957.5647232149</c:v>
                </c:pt>
                <c:pt idx="142">
                  <c:v>-447443.4645042424</c:v>
                </c:pt>
                <c:pt idx="143">
                  <c:v>-445192.7326533235</c:v>
                </c:pt>
                <c:pt idx="144">
                  <c:v>-442725.3131275424</c:v>
                </c:pt>
                <c:pt idx="145">
                  <c:v>-437556.3849018297</c:v>
                </c:pt>
                <c:pt idx="146">
                  <c:v>-429247.0227906698</c:v>
                </c:pt>
                <c:pt idx="147">
                  <c:v>-428023.9981354165</c:v>
                </c:pt>
                <c:pt idx="148">
                  <c:v>-429906.2540185893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8547096"/>
        <c:axId val="-2058548808"/>
      </c:lineChart>
      <c:dateAx>
        <c:axId val="-2058547096"/>
        <c:scaling>
          <c:orientation val="minMax"/>
          <c:min val="36039.0"/>
        </c:scaling>
        <c:delete val="0"/>
        <c:axPos val="b"/>
        <c:numFmt formatCode="mmm\-yy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548808"/>
        <c:crosses val="autoZero"/>
        <c:auto val="1"/>
        <c:lblOffset val="100"/>
        <c:baseTimeUnit val="months"/>
        <c:majorUnit val="6.0"/>
        <c:majorTimeUnit val="months"/>
        <c:minorUnit val="3.0"/>
        <c:minorTimeUnit val="months"/>
      </c:dateAx>
      <c:valAx>
        <c:axId val="-2058548808"/>
        <c:scaling>
          <c:orientation val="minMax"/>
          <c:max val="800000.0"/>
          <c:min val="-450000.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 $</a:t>
                </a:r>
              </a:p>
            </c:rich>
          </c:tx>
          <c:layout>
            <c:manualLayout>
              <c:xMode val="edge"/>
              <c:yMode val="edge"/>
              <c:x val="0.0192592592592593"/>
              <c:y val="0.4181818181818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547096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A0E0E0" mc:Ignorable="a14" a14:legacySpreadsheetColorIndex="27"/>
            </a:gs>
            <a:gs pos="100000">
              <a:srgbClr xmlns:mc="http://schemas.openxmlformats.org/markup-compatibility/2006" xmlns:a14="http://schemas.microsoft.com/office/drawing/2010/main" val="4A6868" mc:Ignorable="a14" a14:legacySpreadsheetColorIndex="27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lgDash"/>
        </a:ln>
      </c:spPr>
    </c:plotArea>
    <c:plotVisOnly val="1"/>
    <c:dispBlanksAs val="gap"/>
    <c:showDLblsOverMax val="0"/>
  </c:chart>
  <c:spPr>
    <a:solidFill>
      <a:srgbClr val="A0E0E0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Quarter Profit  Dec 98 to Present</a:t>
            </a:r>
          </a:p>
        </c:rich>
      </c:tx>
      <c:layout>
        <c:manualLayout>
          <c:xMode val="edge"/>
          <c:yMode val="edge"/>
          <c:x val="0.345185185185185"/>
          <c:y val="0.023965141612200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14814814815"/>
          <c:y val="0.128540305010893"/>
          <c:w val="0.631111111111111"/>
          <c:h val="0.823529411764706"/>
        </c:manualLayout>
      </c:layout>
      <c:lineChart>
        <c:grouping val="standard"/>
        <c:varyColors val="0"/>
        <c:ser>
          <c:idx val="1"/>
          <c:order val="0"/>
          <c:tx>
            <c:v>Quarter Profit</c:v>
          </c:tx>
          <c:spPr>
            <a:ln w="38100">
              <a:solidFill>
                <a:srgbClr val="000090"/>
              </a:solidFill>
              <a:prstDash val="solid"/>
            </a:ln>
          </c:spPr>
          <c:marker>
            <c:symbol val="circle"/>
            <c:size val="15"/>
            <c:spPr>
              <a:noFill/>
              <a:ln>
                <a:solidFill>
                  <a:srgbClr val="FFFF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cat>
            <c:numRef>
              <c:f>'Month S&amp;P'!$GL$46:$GL$93</c:f>
              <c:numCache>
                <c:formatCode>mmm\-yy</c:formatCode>
                <c:ptCount val="48"/>
                <c:pt idx="0">
                  <c:v>34758.0</c:v>
                </c:pt>
                <c:pt idx="1">
                  <c:v>34850.0</c:v>
                </c:pt>
                <c:pt idx="2">
                  <c:v>34942.0</c:v>
                </c:pt>
                <c:pt idx="3">
                  <c:v>35033.0</c:v>
                </c:pt>
                <c:pt idx="4">
                  <c:v>35124.0</c:v>
                </c:pt>
                <c:pt idx="5">
                  <c:v>35216.0</c:v>
                </c:pt>
                <c:pt idx="6">
                  <c:v>35308.0</c:v>
                </c:pt>
                <c:pt idx="7">
                  <c:v>35399.0</c:v>
                </c:pt>
                <c:pt idx="8">
                  <c:v>35489.0</c:v>
                </c:pt>
                <c:pt idx="9">
                  <c:v>35581.0</c:v>
                </c:pt>
                <c:pt idx="10">
                  <c:v>35673.0</c:v>
                </c:pt>
                <c:pt idx="11">
                  <c:v>35764.0</c:v>
                </c:pt>
                <c:pt idx="12">
                  <c:v>35854.0</c:v>
                </c:pt>
                <c:pt idx="13">
                  <c:v>35946.0</c:v>
                </c:pt>
                <c:pt idx="14">
                  <c:v>36039.0</c:v>
                </c:pt>
                <c:pt idx="15">
                  <c:v>36130.0</c:v>
                </c:pt>
                <c:pt idx="16">
                  <c:v>36220.0</c:v>
                </c:pt>
                <c:pt idx="17">
                  <c:v>36312.0</c:v>
                </c:pt>
                <c:pt idx="18">
                  <c:v>36404.0</c:v>
                </c:pt>
                <c:pt idx="19">
                  <c:v>36862.0</c:v>
                </c:pt>
                <c:pt idx="20">
                  <c:v>36585.0</c:v>
                </c:pt>
                <c:pt idx="21">
                  <c:v>36682.0</c:v>
                </c:pt>
                <c:pt idx="22">
                  <c:v>36798.0</c:v>
                </c:pt>
                <c:pt idx="23">
                  <c:v>36889.0</c:v>
                </c:pt>
                <c:pt idx="24">
                  <c:v>36979.0</c:v>
                </c:pt>
                <c:pt idx="25">
                  <c:v>37071.0</c:v>
                </c:pt>
                <c:pt idx="26">
                  <c:v>37163.0</c:v>
                </c:pt>
                <c:pt idx="27">
                  <c:v>37254.0</c:v>
                </c:pt>
                <c:pt idx="28">
                  <c:v>37342.0</c:v>
                </c:pt>
                <c:pt idx="29">
                  <c:v>37434.0</c:v>
                </c:pt>
                <c:pt idx="30">
                  <c:v>37526.0</c:v>
                </c:pt>
                <c:pt idx="31">
                  <c:v>37617.0</c:v>
                </c:pt>
                <c:pt idx="32">
                  <c:v>37707.0</c:v>
                </c:pt>
                <c:pt idx="33">
                  <c:v>37799.0</c:v>
                </c:pt>
                <c:pt idx="34">
                  <c:v>37891.0</c:v>
                </c:pt>
                <c:pt idx="35">
                  <c:v>37982.0</c:v>
                </c:pt>
                <c:pt idx="36">
                  <c:v>38073.0</c:v>
                </c:pt>
                <c:pt idx="37">
                  <c:v>38165.0</c:v>
                </c:pt>
                <c:pt idx="38">
                  <c:v>38257.0</c:v>
                </c:pt>
                <c:pt idx="39">
                  <c:v>38348.0</c:v>
                </c:pt>
                <c:pt idx="40">
                  <c:v>38438.0</c:v>
                </c:pt>
                <c:pt idx="41">
                  <c:v>38530.0</c:v>
                </c:pt>
                <c:pt idx="42">
                  <c:v>38622.0</c:v>
                </c:pt>
                <c:pt idx="43">
                  <c:v>38713.0</c:v>
                </c:pt>
                <c:pt idx="44">
                  <c:v>38803.0</c:v>
                </c:pt>
                <c:pt idx="45">
                  <c:v>38895.0</c:v>
                </c:pt>
                <c:pt idx="46">
                  <c:v>38987.0</c:v>
                </c:pt>
                <c:pt idx="47">
                  <c:v>39078.0</c:v>
                </c:pt>
              </c:numCache>
            </c:numRef>
          </c:cat>
          <c:val>
            <c:numRef>
              <c:f>'Month S&amp;P'!$GN$46:$GN$93</c:f>
              <c:numCache>
                <c:formatCode>#,##0_);[Red]\(#,##0\)</c:formatCode>
                <c:ptCount val="48"/>
                <c:pt idx="0">
                  <c:v>406512.0</c:v>
                </c:pt>
                <c:pt idx="1">
                  <c:v>243471.0</c:v>
                </c:pt>
                <c:pt idx="2">
                  <c:v>434295.0</c:v>
                </c:pt>
                <c:pt idx="3">
                  <c:v>37627.0</c:v>
                </c:pt>
                <c:pt idx="4">
                  <c:v>475302.0</c:v>
                </c:pt>
                <c:pt idx="5">
                  <c:v>680932.0</c:v>
                </c:pt>
                <c:pt idx="6">
                  <c:v>550458.0</c:v>
                </c:pt>
                <c:pt idx="7">
                  <c:v>154006.0</c:v>
                </c:pt>
                <c:pt idx="8">
                  <c:v>594709.0</c:v>
                </c:pt>
                <c:pt idx="9">
                  <c:v>1.24071E6</c:v>
                </c:pt>
                <c:pt idx="10">
                  <c:v>335333.0</c:v>
                </c:pt>
                <c:pt idx="11">
                  <c:v>468965.0</c:v>
                </c:pt>
                <c:pt idx="12">
                  <c:v>485602.0</c:v>
                </c:pt>
                <c:pt idx="13">
                  <c:v>489568.0</c:v>
                </c:pt>
                <c:pt idx="14">
                  <c:v>-479940.0</c:v>
                </c:pt>
                <c:pt idx="15">
                  <c:v>33072.0</c:v>
                </c:pt>
                <c:pt idx="16">
                  <c:v>-156799.0</c:v>
                </c:pt>
                <c:pt idx="17">
                  <c:v>846290.0</c:v>
                </c:pt>
                <c:pt idx="18">
                  <c:v>462283.0</c:v>
                </c:pt>
                <c:pt idx="19">
                  <c:v>-199678.0</c:v>
                </c:pt>
                <c:pt idx="20">
                  <c:v>50952.0</c:v>
                </c:pt>
                <c:pt idx="21">
                  <c:v>136392.0</c:v>
                </c:pt>
                <c:pt idx="22">
                  <c:v>-258072.0</c:v>
                </c:pt>
                <c:pt idx="23">
                  <c:v>-182366.0</c:v>
                </c:pt>
                <c:pt idx="24">
                  <c:v>-123170.0</c:v>
                </c:pt>
                <c:pt idx="25">
                  <c:v>805067.0</c:v>
                </c:pt>
                <c:pt idx="26">
                  <c:v>-228454.0</c:v>
                </c:pt>
                <c:pt idx="27">
                  <c:v>-287741.0</c:v>
                </c:pt>
                <c:pt idx="28">
                  <c:v>8693.0</c:v>
                </c:pt>
                <c:pt idx="29">
                  <c:v>201356.0</c:v>
                </c:pt>
                <c:pt idx="30">
                  <c:v>-253594.0</c:v>
                </c:pt>
                <c:pt idx="31">
                  <c:v>119949.0</c:v>
                </c:pt>
                <c:pt idx="32">
                  <c:v>-470473.0</c:v>
                </c:pt>
                <c:pt idx="33">
                  <c:v>1.042292E6</c:v>
                </c:pt>
                <c:pt idx="34">
                  <c:v>516082.0</c:v>
                </c:pt>
                <c:pt idx="35">
                  <c:v>383571.0</c:v>
                </c:pt>
                <c:pt idx="36">
                  <c:v>397361.0</c:v>
                </c:pt>
                <c:pt idx="37">
                  <c:v>1.936231E6</c:v>
                </c:pt>
                <c:pt idx="38">
                  <c:v>1.513074E6</c:v>
                </c:pt>
                <c:pt idx="39">
                  <c:v>521122.0</c:v>
                </c:pt>
                <c:pt idx="40">
                  <c:v>304850.0</c:v>
                </c:pt>
                <c:pt idx="41">
                  <c:v>-885.0</c:v>
                </c:pt>
                <c:pt idx="42">
                  <c:v>573793.0</c:v>
                </c:pt>
                <c:pt idx="43">
                  <c:v>-331984.0</c:v>
                </c:pt>
                <c:pt idx="44">
                  <c:v>-940389.0</c:v>
                </c:pt>
                <c:pt idx="45">
                  <c:v>1.896644E6</c:v>
                </c:pt>
                <c:pt idx="46">
                  <c:v>785610.0</c:v>
                </c:pt>
                <c:pt idx="47">
                  <c:v>195288.0</c:v>
                </c:pt>
              </c:numCache>
            </c:numRef>
          </c:val>
          <c:smooth val="1"/>
        </c:ser>
        <c:ser>
          <c:idx val="3"/>
          <c:order val="1"/>
          <c:tx>
            <c:v>UCL</c:v>
          </c:tx>
          <c:spPr>
            <a:ln w="38100">
              <a:solidFill>
                <a:srgbClr val="006411"/>
              </a:solidFill>
              <a:prstDash val="solid"/>
            </a:ln>
          </c:spPr>
          <c:marker>
            <c:symbol val="none"/>
          </c:marker>
          <c:cat>
            <c:numRef>
              <c:f>'Month S&amp;P'!$GL$45:$GL$77</c:f>
              <c:numCache>
                <c:formatCode>mmm\-yy</c:formatCode>
                <c:ptCount val="33"/>
                <c:pt idx="0">
                  <c:v>34668.0</c:v>
                </c:pt>
                <c:pt idx="1">
                  <c:v>34758.0</c:v>
                </c:pt>
                <c:pt idx="2">
                  <c:v>34850.0</c:v>
                </c:pt>
                <c:pt idx="3">
                  <c:v>34942.0</c:v>
                </c:pt>
                <c:pt idx="4">
                  <c:v>35033.0</c:v>
                </c:pt>
                <c:pt idx="5">
                  <c:v>35124.0</c:v>
                </c:pt>
                <c:pt idx="6">
                  <c:v>35216.0</c:v>
                </c:pt>
                <c:pt idx="7">
                  <c:v>35308.0</c:v>
                </c:pt>
                <c:pt idx="8">
                  <c:v>35399.0</c:v>
                </c:pt>
                <c:pt idx="9">
                  <c:v>35489.0</c:v>
                </c:pt>
                <c:pt idx="10">
                  <c:v>35581.0</c:v>
                </c:pt>
                <c:pt idx="11">
                  <c:v>35673.0</c:v>
                </c:pt>
                <c:pt idx="12">
                  <c:v>35764.0</c:v>
                </c:pt>
                <c:pt idx="13">
                  <c:v>35854.0</c:v>
                </c:pt>
                <c:pt idx="14">
                  <c:v>35946.0</c:v>
                </c:pt>
                <c:pt idx="15">
                  <c:v>36039.0</c:v>
                </c:pt>
                <c:pt idx="16">
                  <c:v>36130.0</c:v>
                </c:pt>
                <c:pt idx="17">
                  <c:v>36220.0</c:v>
                </c:pt>
                <c:pt idx="18">
                  <c:v>36312.0</c:v>
                </c:pt>
                <c:pt idx="19">
                  <c:v>36404.0</c:v>
                </c:pt>
                <c:pt idx="20">
                  <c:v>36862.0</c:v>
                </c:pt>
                <c:pt idx="21">
                  <c:v>36585.0</c:v>
                </c:pt>
                <c:pt idx="22">
                  <c:v>36682.0</c:v>
                </c:pt>
                <c:pt idx="23">
                  <c:v>36798.0</c:v>
                </c:pt>
                <c:pt idx="24">
                  <c:v>36889.0</c:v>
                </c:pt>
                <c:pt idx="25">
                  <c:v>36979.0</c:v>
                </c:pt>
                <c:pt idx="26">
                  <c:v>37071.0</c:v>
                </c:pt>
                <c:pt idx="27">
                  <c:v>37163.0</c:v>
                </c:pt>
                <c:pt idx="28">
                  <c:v>37254.0</c:v>
                </c:pt>
                <c:pt idx="29">
                  <c:v>37342.0</c:v>
                </c:pt>
                <c:pt idx="30">
                  <c:v>37434.0</c:v>
                </c:pt>
                <c:pt idx="31">
                  <c:v>37526.0</c:v>
                </c:pt>
                <c:pt idx="32">
                  <c:v>37617.0</c:v>
                </c:pt>
              </c:numCache>
            </c:numRef>
          </c:cat>
          <c:val>
            <c:numRef>
              <c:f>'Month S&amp;P'!$GP$45:$GP$115</c:f>
              <c:numCache>
                <c:formatCode>#,##0_);[Red]\(#,##0\)</c:formatCode>
                <c:ptCount val="71"/>
                <c:pt idx="0">
                  <c:v>725091.6168</c:v>
                </c:pt>
                <c:pt idx="1">
                  <c:v>725091.6168</c:v>
                </c:pt>
                <c:pt idx="2">
                  <c:v>725091.6168</c:v>
                </c:pt>
                <c:pt idx="3">
                  <c:v>725091.6168</c:v>
                </c:pt>
                <c:pt idx="4">
                  <c:v>725091.6168</c:v>
                </c:pt>
                <c:pt idx="5">
                  <c:v>725091.6168</c:v>
                </c:pt>
                <c:pt idx="6">
                  <c:v>725091.6168</c:v>
                </c:pt>
                <c:pt idx="7">
                  <c:v>725091.6168</c:v>
                </c:pt>
                <c:pt idx="8">
                  <c:v>725091.6168</c:v>
                </c:pt>
                <c:pt idx="9">
                  <c:v>725091.6168</c:v>
                </c:pt>
                <c:pt idx="10">
                  <c:v>725091.6168</c:v>
                </c:pt>
                <c:pt idx="11">
                  <c:v>725091.6168</c:v>
                </c:pt>
                <c:pt idx="12">
                  <c:v>725091.6168</c:v>
                </c:pt>
                <c:pt idx="13">
                  <c:v>725091.6168</c:v>
                </c:pt>
                <c:pt idx="14">
                  <c:v>725091.6168</c:v>
                </c:pt>
                <c:pt idx="15">
                  <c:v>725091.6168</c:v>
                </c:pt>
                <c:pt idx="16">
                  <c:v>725091.6168</c:v>
                </c:pt>
                <c:pt idx="17">
                  <c:v>725091.6168</c:v>
                </c:pt>
                <c:pt idx="18">
                  <c:v>725091.6168</c:v>
                </c:pt>
                <c:pt idx="19">
                  <c:v>725091.6168</c:v>
                </c:pt>
                <c:pt idx="20">
                  <c:v>725091.6168</c:v>
                </c:pt>
                <c:pt idx="21">
                  <c:v>725091.6168</c:v>
                </c:pt>
                <c:pt idx="22">
                  <c:v>725091.6168</c:v>
                </c:pt>
                <c:pt idx="23">
                  <c:v>725091.6168</c:v>
                </c:pt>
                <c:pt idx="24">
                  <c:v>725091.6168</c:v>
                </c:pt>
                <c:pt idx="25">
                  <c:v>725091.6168</c:v>
                </c:pt>
                <c:pt idx="26">
                  <c:v>725091.6168</c:v>
                </c:pt>
                <c:pt idx="27">
                  <c:v>725091.6168</c:v>
                </c:pt>
                <c:pt idx="28">
                  <c:v>725091.6168</c:v>
                </c:pt>
                <c:pt idx="29">
                  <c:v>725091.6168</c:v>
                </c:pt>
                <c:pt idx="30">
                  <c:v>725091.6168</c:v>
                </c:pt>
                <c:pt idx="31">
                  <c:v>725091.6168</c:v>
                </c:pt>
                <c:pt idx="32">
                  <c:v>725091.6168</c:v>
                </c:pt>
                <c:pt idx="33">
                  <c:v>725091.6168</c:v>
                </c:pt>
                <c:pt idx="34">
                  <c:v>725091.6168</c:v>
                </c:pt>
                <c:pt idx="35">
                  <c:v>725091.6168</c:v>
                </c:pt>
                <c:pt idx="36">
                  <c:v>725091.6168</c:v>
                </c:pt>
                <c:pt idx="37">
                  <c:v>725091.6168</c:v>
                </c:pt>
                <c:pt idx="38">
                  <c:v>725091.6168</c:v>
                </c:pt>
                <c:pt idx="39">
                  <c:v>725091.6168</c:v>
                </c:pt>
                <c:pt idx="40">
                  <c:v>725091.6168</c:v>
                </c:pt>
                <c:pt idx="41">
                  <c:v>725091.6168</c:v>
                </c:pt>
                <c:pt idx="42">
                  <c:v>725091.6168</c:v>
                </c:pt>
                <c:pt idx="43">
                  <c:v>725091.6168</c:v>
                </c:pt>
                <c:pt idx="44">
                  <c:v>725091.6168</c:v>
                </c:pt>
                <c:pt idx="45">
                  <c:v>725091.6168</c:v>
                </c:pt>
                <c:pt idx="46">
                  <c:v>725091.6168</c:v>
                </c:pt>
                <c:pt idx="47">
                  <c:v>725091.6168</c:v>
                </c:pt>
                <c:pt idx="48">
                  <c:v>725091.6168</c:v>
                </c:pt>
                <c:pt idx="49">
                  <c:v>725091.6168</c:v>
                </c:pt>
                <c:pt idx="50">
                  <c:v>725091.6168</c:v>
                </c:pt>
                <c:pt idx="51">
                  <c:v>725091.6168</c:v>
                </c:pt>
                <c:pt idx="52">
                  <c:v>725091.6168</c:v>
                </c:pt>
                <c:pt idx="70">
                  <c:v>0.0</c:v>
                </c:pt>
              </c:numCache>
            </c:numRef>
          </c:val>
          <c:smooth val="0"/>
        </c:ser>
        <c:ser>
          <c:idx val="4"/>
          <c:order val="2"/>
          <c:tx>
            <c:v>LCL</c:v>
          </c:tx>
          <c:spPr>
            <a:ln w="381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'Month S&amp;P'!$GL$45:$GL$77</c:f>
              <c:numCache>
                <c:formatCode>mmm\-yy</c:formatCode>
                <c:ptCount val="33"/>
                <c:pt idx="0">
                  <c:v>34668.0</c:v>
                </c:pt>
                <c:pt idx="1">
                  <c:v>34758.0</c:v>
                </c:pt>
                <c:pt idx="2">
                  <c:v>34850.0</c:v>
                </c:pt>
                <c:pt idx="3">
                  <c:v>34942.0</c:v>
                </c:pt>
                <c:pt idx="4">
                  <c:v>35033.0</c:v>
                </c:pt>
                <c:pt idx="5">
                  <c:v>35124.0</c:v>
                </c:pt>
                <c:pt idx="6">
                  <c:v>35216.0</c:v>
                </c:pt>
                <c:pt idx="7">
                  <c:v>35308.0</c:v>
                </c:pt>
                <c:pt idx="8">
                  <c:v>35399.0</c:v>
                </c:pt>
                <c:pt idx="9">
                  <c:v>35489.0</c:v>
                </c:pt>
                <c:pt idx="10">
                  <c:v>35581.0</c:v>
                </c:pt>
                <c:pt idx="11">
                  <c:v>35673.0</c:v>
                </c:pt>
                <c:pt idx="12">
                  <c:v>35764.0</c:v>
                </c:pt>
                <c:pt idx="13">
                  <c:v>35854.0</c:v>
                </c:pt>
                <c:pt idx="14">
                  <c:v>35946.0</c:v>
                </c:pt>
                <c:pt idx="15">
                  <c:v>36039.0</c:v>
                </c:pt>
                <c:pt idx="16">
                  <c:v>36130.0</c:v>
                </c:pt>
                <c:pt idx="17">
                  <c:v>36220.0</c:v>
                </c:pt>
                <c:pt idx="18">
                  <c:v>36312.0</c:v>
                </c:pt>
                <c:pt idx="19">
                  <c:v>36404.0</c:v>
                </c:pt>
                <c:pt idx="20">
                  <c:v>36862.0</c:v>
                </c:pt>
                <c:pt idx="21">
                  <c:v>36585.0</c:v>
                </c:pt>
                <c:pt idx="22">
                  <c:v>36682.0</c:v>
                </c:pt>
                <c:pt idx="23">
                  <c:v>36798.0</c:v>
                </c:pt>
                <c:pt idx="24">
                  <c:v>36889.0</c:v>
                </c:pt>
                <c:pt idx="25">
                  <c:v>36979.0</c:v>
                </c:pt>
                <c:pt idx="26">
                  <c:v>37071.0</c:v>
                </c:pt>
                <c:pt idx="27">
                  <c:v>37163.0</c:v>
                </c:pt>
                <c:pt idx="28">
                  <c:v>37254.0</c:v>
                </c:pt>
                <c:pt idx="29">
                  <c:v>37342.0</c:v>
                </c:pt>
                <c:pt idx="30">
                  <c:v>37434.0</c:v>
                </c:pt>
                <c:pt idx="31">
                  <c:v>37526.0</c:v>
                </c:pt>
                <c:pt idx="32">
                  <c:v>37617.0</c:v>
                </c:pt>
              </c:numCache>
            </c:numRef>
          </c:cat>
          <c:val>
            <c:numRef>
              <c:f>'Month S&amp;P'!$GQ$45:$GQ$115</c:f>
              <c:numCache>
                <c:formatCode>#,##0_);[Red]\(#,##0\)</c:formatCode>
                <c:ptCount val="71"/>
                <c:pt idx="0">
                  <c:v>43442.98320000002</c:v>
                </c:pt>
                <c:pt idx="1">
                  <c:v>43442.98320000002</c:v>
                </c:pt>
                <c:pt idx="2">
                  <c:v>43442.98320000002</c:v>
                </c:pt>
                <c:pt idx="3">
                  <c:v>43442.98320000002</c:v>
                </c:pt>
                <c:pt idx="4">
                  <c:v>43442.98320000002</c:v>
                </c:pt>
                <c:pt idx="5">
                  <c:v>43442.98320000002</c:v>
                </c:pt>
                <c:pt idx="6">
                  <c:v>43442.98320000002</c:v>
                </c:pt>
                <c:pt idx="7">
                  <c:v>43442.98320000002</c:v>
                </c:pt>
                <c:pt idx="8">
                  <c:v>43442.98320000002</c:v>
                </c:pt>
                <c:pt idx="9">
                  <c:v>43442.98320000002</c:v>
                </c:pt>
                <c:pt idx="10">
                  <c:v>43442.98320000002</c:v>
                </c:pt>
                <c:pt idx="11">
                  <c:v>43442.98320000002</c:v>
                </c:pt>
                <c:pt idx="12">
                  <c:v>43442.98320000002</c:v>
                </c:pt>
                <c:pt idx="13">
                  <c:v>43442.98320000002</c:v>
                </c:pt>
                <c:pt idx="14">
                  <c:v>43442.98320000002</c:v>
                </c:pt>
                <c:pt idx="15">
                  <c:v>43442.98320000002</c:v>
                </c:pt>
                <c:pt idx="16">
                  <c:v>43442.98320000002</c:v>
                </c:pt>
                <c:pt idx="17">
                  <c:v>43442.98320000002</c:v>
                </c:pt>
                <c:pt idx="18">
                  <c:v>43442.98320000002</c:v>
                </c:pt>
                <c:pt idx="19">
                  <c:v>43442.98320000002</c:v>
                </c:pt>
                <c:pt idx="20">
                  <c:v>43442.98320000002</c:v>
                </c:pt>
                <c:pt idx="21">
                  <c:v>43442.98320000002</c:v>
                </c:pt>
                <c:pt idx="22">
                  <c:v>43442.98320000002</c:v>
                </c:pt>
                <c:pt idx="23">
                  <c:v>43442.98320000002</c:v>
                </c:pt>
                <c:pt idx="24">
                  <c:v>43442.98320000002</c:v>
                </c:pt>
                <c:pt idx="25">
                  <c:v>43442.98320000002</c:v>
                </c:pt>
                <c:pt idx="26">
                  <c:v>43442.98320000002</c:v>
                </c:pt>
                <c:pt idx="27">
                  <c:v>43442.98320000002</c:v>
                </c:pt>
                <c:pt idx="28">
                  <c:v>43442.98320000002</c:v>
                </c:pt>
                <c:pt idx="29">
                  <c:v>43442.98320000002</c:v>
                </c:pt>
                <c:pt idx="30">
                  <c:v>43442.98320000002</c:v>
                </c:pt>
                <c:pt idx="31">
                  <c:v>43442.98320000002</c:v>
                </c:pt>
                <c:pt idx="32">
                  <c:v>43442.98320000002</c:v>
                </c:pt>
                <c:pt idx="33">
                  <c:v>43442.98320000002</c:v>
                </c:pt>
                <c:pt idx="34">
                  <c:v>43442.98320000002</c:v>
                </c:pt>
                <c:pt idx="35">
                  <c:v>43442.98320000002</c:v>
                </c:pt>
                <c:pt idx="36">
                  <c:v>43442.98320000002</c:v>
                </c:pt>
                <c:pt idx="37">
                  <c:v>43442.98320000002</c:v>
                </c:pt>
                <c:pt idx="38">
                  <c:v>43442.98320000002</c:v>
                </c:pt>
                <c:pt idx="39">
                  <c:v>43442.98320000002</c:v>
                </c:pt>
                <c:pt idx="40">
                  <c:v>43442.98320000002</c:v>
                </c:pt>
                <c:pt idx="41">
                  <c:v>43442.98320000002</c:v>
                </c:pt>
                <c:pt idx="42">
                  <c:v>43442.98320000002</c:v>
                </c:pt>
                <c:pt idx="43">
                  <c:v>43442.98320000002</c:v>
                </c:pt>
                <c:pt idx="44">
                  <c:v>43442.98320000002</c:v>
                </c:pt>
                <c:pt idx="45">
                  <c:v>43442.98320000002</c:v>
                </c:pt>
                <c:pt idx="46">
                  <c:v>43442.98320000002</c:v>
                </c:pt>
                <c:pt idx="47">
                  <c:v>43442.98320000002</c:v>
                </c:pt>
                <c:pt idx="48">
                  <c:v>43442.98320000002</c:v>
                </c:pt>
                <c:pt idx="49">
                  <c:v>43442.98320000002</c:v>
                </c:pt>
                <c:pt idx="50">
                  <c:v>43442.98320000002</c:v>
                </c:pt>
                <c:pt idx="51">
                  <c:v>43442.98320000002</c:v>
                </c:pt>
                <c:pt idx="52">
                  <c:v>43442.98320000002</c:v>
                </c:pt>
                <c:pt idx="70">
                  <c:v>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079832"/>
        <c:axId val="-2048723432"/>
      </c:lineChart>
      <c:dateAx>
        <c:axId val="-2048079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Quarter Ending</a:t>
                </a:r>
              </a:p>
            </c:rich>
          </c:tx>
          <c:layout>
            <c:manualLayout>
              <c:xMode val="edge"/>
              <c:yMode val="edge"/>
              <c:x val="0.383703703703704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2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723432"/>
        <c:crosses val="autoZero"/>
        <c:auto val="1"/>
        <c:lblOffset val="100"/>
        <c:baseTimeUnit val="days"/>
        <c:majorUnit val="1.0"/>
        <c:majorTimeUnit val="years"/>
        <c:minorUnit val="6.0"/>
        <c:minorTimeUnit val="months"/>
      </c:dateAx>
      <c:valAx>
        <c:axId val="-2048723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Quarter Profit</a:t>
                </a:r>
              </a:p>
            </c:rich>
          </c:tx>
          <c:layout>
            <c:manualLayout>
              <c:xMode val="edge"/>
              <c:yMode val="edge"/>
              <c:x val="0.0"/>
              <c:y val="0.448801742919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079832"/>
        <c:crossesAt val="36220.0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185185185185"/>
          <c:y val="0.233115468409586"/>
          <c:w val="0.173333333333333"/>
          <c:h val="0.1263616557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25 Year Profit SPC Chart </a:t>
            </a:r>
          </a:p>
        </c:rich>
      </c:tx>
      <c:layout>
        <c:manualLayout>
          <c:xMode val="edge"/>
          <c:yMode val="edge"/>
          <c:x val="0.336296296296296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74074074074074"/>
          <c:y val="0.139433551198257"/>
          <c:w val="0.937777777777778"/>
          <c:h val="0.86056644880174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cat>
            <c:strRef>
              <c:f>'Month S&amp;P'!$A$3:$A$320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S&amp;P'!$C$3:$C$320</c:f>
              <c:numCache>
                <c:formatCode>#,##0_);[Red]\(#,##0\)</c:formatCode>
                <c:ptCount val="318"/>
                <c:pt idx="0">
                  <c:v>14000.0</c:v>
                </c:pt>
                <c:pt idx="1">
                  <c:v>116098.0</c:v>
                </c:pt>
                <c:pt idx="2">
                  <c:v>5893.0</c:v>
                </c:pt>
                <c:pt idx="3">
                  <c:v>-114042.0</c:v>
                </c:pt>
                <c:pt idx="4">
                  <c:v>23933.0</c:v>
                </c:pt>
                <c:pt idx="5">
                  <c:v>125692.0</c:v>
                </c:pt>
                <c:pt idx="6">
                  <c:v>245285.0</c:v>
                </c:pt>
                <c:pt idx="7">
                  <c:v>137223.0</c:v>
                </c:pt>
                <c:pt idx="8">
                  <c:v>208268.0</c:v>
                </c:pt>
                <c:pt idx="9">
                  <c:v>114416.0</c:v>
                </c:pt>
                <c:pt idx="10">
                  <c:v>-3018.0</c:v>
                </c:pt>
                <c:pt idx="11">
                  <c:v>-235946.0</c:v>
                </c:pt>
                <c:pt idx="12">
                  <c:v>23394.0</c:v>
                </c:pt>
                <c:pt idx="13">
                  <c:v>-95212.0</c:v>
                </c:pt>
                <c:pt idx="14">
                  <c:v>-54312.0</c:v>
                </c:pt>
                <c:pt idx="15">
                  <c:v>-108257.0</c:v>
                </c:pt>
                <c:pt idx="16">
                  <c:v>152548.0</c:v>
                </c:pt>
                <c:pt idx="17">
                  <c:v>171849.0</c:v>
                </c:pt>
                <c:pt idx="18">
                  <c:v>75078.0</c:v>
                </c:pt>
                <c:pt idx="19">
                  <c:v>104270.0</c:v>
                </c:pt>
                <c:pt idx="20">
                  <c:v>177097.0</c:v>
                </c:pt>
                <c:pt idx="21">
                  <c:v>124733.0</c:v>
                </c:pt>
                <c:pt idx="22">
                  <c:v>98095.0</c:v>
                </c:pt>
                <c:pt idx="23">
                  <c:v>32694.0</c:v>
                </c:pt>
                <c:pt idx="24">
                  <c:v>97062.0</c:v>
                </c:pt>
                <c:pt idx="25">
                  <c:v>-132682.0</c:v>
                </c:pt>
                <c:pt idx="26">
                  <c:v>251478.0</c:v>
                </c:pt>
                <c:pt idx="27">
                  <c:v>37800.0</c:v>
                </c:pt>
                <c:pt idx="28">
                  <c:v>16503.0</c:v>
                </c:pt>
                <c:pt idx="29">
                  <c:v>135554.0</c:v>
                </c:pt>
                <c:pt idx="30">
                  <c:v>121961.0</c:v>
                </c:pt>
                <c:pt idx="31">
                  <c:v>141798.0</c:v>
                </c:pt>
                <c:pt idx="32">
                  <c:v>231306.0</c:v>
                </c:pt>
                <c:pt idx="33">
                  <c:v>-37216.0</c:v>
                </c:pt>
                <c:pt idx="34">
                  <c:v>-112887.0</c:v>
                </c:pt>
                <c:pt idx="35">
                  <c:v>-43418.0</c:v>
                </c:pt>
                <c:pt idx="36">
                  <c:v>-275901.0</c:v>
                </c:pt>
                <c:pt idx="37">
                  <c:v>-106520.0</c:v>
                </c:pt>
                <c:pt idx="38">
                  <c:v>-60644.0</c:v>
                </c:pt>
                <c:pt idx="39">
                  <c:v>73341.0</c:v>
                </c:pt>
                <c:pt idx="40">
                  <c:v>184099.0</c:v>
                </c:pt>
                <c:pt idx="41">
                  <c:v>101907.0</c:v>
                </c:pt>
                <c:pt idx="42">
                  <c:v>145273.0</c:v>
                </c:pt>
                <c:pt idx="43">
                  <c:v>116123.0</c:v>
                </c:pt>
                <c:pt idx="44">
                  <c:v>118297.0</c:v>
                </c:pt>
                <c:pt idx="45">
                  <c:v>286313.0</c:v>
                </c:pt>
                <c:pt idx="46">
                  <c:v>280766.0</c:v>
                </c:pt>
                <c:pt idx="47">
                  <c:v>193079.0</c:v>
                </c:pt>
                <c:pt idx="48">
                  <c:v>46377.0</c:v>
                </c:pt>
                <c:pt idx="49">
                  <c:v>-79752.0</c:v>
                </c:pt>
                <c:pt idx="50">
                  <c:v>66604.0</c:v>
                </c:pt>
                <c:pt idx="51">
                  <c:v>26755.0</c:v>
                </c:pt>
                <c:pt idx="52">
                  <c:v>158737.0</c:v>
                </c:pt>
                <c:pt idx="53">
                  <c:v>113724.0</c:v>
                </c:pt>
                <c:pt idx="54">
                  <c:v>305512.0</c:v>
                </c:pt>
                <c:pt idx="55">
                  <c:v>78633.0</c:v>
                </c:pt>
                <c:pt idx="56">
                  <c:v>45320.0</c:v>
                </c:pt>
                <c:pt idx="57">
                  <c:v>1552.0</c:v>
                </c:pt>
                <c:pt idx="58">
                  <c:v>-302798.0</c:v>
                </c:pt>
                <c:pt idx="59">
                  <c:v>-438664.0</c:v>
                </c:pt>
                <c:pt idx="60">
                  <c:v>38218.0</c:v>
                </c:pt>
                <c:pt idx="61">
                  <c:v>-150000.0</c:v>
                </c:pt>
                <c:pt idx="62">
                  <c:v>52176.0</c:v>
                </c:pt>
                <c:pt idx="63">
                  <c:v>82001.0</c:v>
                </c:pt>
                <c:pt idx="64">
                  <c:v>135899.53</c:v>
                </c:pt>
                <c:pt idx="65">
                  <c:v>178089.76</c:v>
                </c:pt>
                <c:pt idx="66">
                  <c:v>-52693.0</c:v>
                </c:pt>
                <c:pt idx="67">
                  <c:v>32240.0</c:v>
                </c:pt>
                <c:pt idx="68">
                  <c:v>33904.41</c:v>
                </c:pt>
                <c:pt idx="69">
                  <c:v>78275.0</c:v>
                </c:pt>
                <c:pt idx="70">
                  <c:v>190541.13</c:v>
                </c:pt>
                <c:pt idx="71">
                  <c:v>11662.31</c:v>
                </c:pt>
                <c:pt idx="72">
                  <c:v>-277738.0</c:v>
                </c:pt>
                <c:pt idx="73">
                  <c:v>-155341.33</c:v>
                </c:pt>
                <c:pt idx="74">
                  <c:v>102522.0</c:v>
                </c:pt>
                <c:pt idx="75">
                  <c:v>-35453.0</c:v>
                </c:pt>
                <c:pt idx="76">
                  <c:v>-166479.47</c:v>
                </c:pt>
                <c:pt idx="77">
                  <c:v>332775.68</c:v>
                </c:pt>
                <c:pt idx="78">
                  <c:v>-117540.0</c:v>
                </c:pt>
                <c:pt idx="79">
                  <c:v>140168.0</c:v>
                </c:pt>
                <c:pt idx="80">
                  <c:v>218010.0</c:v>
                </c:pt>
                <c:pt idx="81">
                  <c:v>130171.0</c:v>
                </c:pt>
                <c:pt idx="82">
                  <c:v>288722.0</c:v>
                </c:pt>
                <c:pt idx="83">
                  <c:v>-7874.0</c:v>
                </c:pt>
                <c:pt idx="84">
                  <c:v>-284840.614</c:v>
                </c:pt>
                <c:pt idx="85">
                  <c:v>-62046.83</c:v>
                </c:pt>
                <c:pt idx="86">
                  <c:v>-28083.465</c:v>
                </c:pt>
                <c:pt idx="87">
                  <c:v>-230622.7635</c:v>
                </c:pt>
                <c:pt idx="88">
                  <c:v>-129993.926</c:v>
                </c:pt>
                <c:pt idx="89">
                  <c:v>-76671.28</c:v>
                </c:pt>
                <c:pt idx="90">
                  <c:v>-74391.77250000001</c:v>
                </c:pt>
                <c:pt idx="91">
                  <c:v>291550.508</c:v>
                </c:pt>
                <c:pt idx="92">
                  <c:v>39405.046</c:v>
                </c:pt>
                <c:pt idx="93">
                  <c:v>-24267.5635</c:v>
                </c:pt>
                <c:pt idx="94">
                  <c:v>249705.6715</c:v>
                </c:pt>
                <c:pt idx="95">
                  <c:v>-218842.198</c:v>
                </c:pt>
                <c:pt idx="96">
                  <c:v>-163729.002</c:v>
                </c:pt>
                <c:pt idx="97">
                  <c:v>136266.592</c:v>
                </c:pt>
                <c:pt idx="98">
                  <c:v>-238738.992</c:v>
                </c:pt>
                <c:pt idx="99">
                  <c:v>-14044.96000000001</c:v>
                </c:pt>
                <c:pt idx="100">
                  <c:v>167701.12</c:v>
                </c:pt>
                <c:pt idx="101">
                  <c:v>-33528.925</c:v>
                </c:pt>
                <c:pt idx="102">
                  <c:v>-351815.725</c:v>
                </c:pt>
                <c:pt idx="103">
                  <c:v>40817.62500000001</c:v>
                </c:pt>
                <c:pt idx="104">
                  <c:v>90237.44</c:v>
                </c:pt>
                <c:pt idx="105">
                  <c:v>-291622.648</c:v>
                </c:pt>
                <c:pt idx="106">
                  <c:v>169013.232</c:v>
                </c:pt>
                <c:pt idx="107">
                  <c:v>169580.72</c:v>
                </c:pt>
                <c:pt idx="108">
                  <c:v>76783.667</c:v>
                </c:pt>
                <c:pt idx="109">
                  <c:v>7525.821000000001</c:v>
                </c:pt>
                <c:pt idx="110">
                  <c:v>-36.34000000000015</c:v>
                </c:pt>
                <c:pt idx="111">
                  <c:v>-218381.533</c:v>
                </c:pt>
                <c:pt idx="112">
                  <c:v>49673.111</c:v>
                </c:pt>
                <c:pt idx="113">
                  <c:v>-160732.713</c:v>
                </c:pt>
                <c:pt idx="114">
                  <c:v>-94919.121</c:v>
                </c:pt>
                <c:pt idx="115">
                  <c:v>29799.624</c:v>
                </c:pt>
                <c:pt idx="116">
                  <c:v>69082.894</c:v>
                </c:pt>
                <c:pt idx="117">
                  <c:v>183978.493</c:v>
                </c:pt>
                <c:pt idx="118">
                  <c:v>43426.35</c:v>
                </c:pt>
                <c:pt idx="119">
                  <c:v>50042.01</c:v>
                </c:pt>
                <c:pt idx="120">
                  <c:v>82431.0</c:v>
                </c:pt>
                <c:pt idx="121">
                  <c:v>-201020.0</c:v>
                </c:pt>
                <c:pt idx="122">
                  <c:v>-147362.0</c:v>
                </c:pt>
                <c:pt idx="123">
                  <c:v>-35232.0</c:v>
                </c:pt>
                <c:pt idx="124">
                  <c:v>-243329.0</c:v>
                </c:pt>
                <c:pt idx="125">
                  <c:v>-2172.0</c:v>
                </c:pt>
                <c:pt idx="126">
                  <c:v>-35374.0</c:v>
                </c:pt>
                <c:pt idx="127">
                  <c:v>-110384.0</c:v>
                </c:pt>
                <c:pt idx="128">
                  <c:v>-417879.0</c:v>
                </c:pt>
                <c:pt idx="129">
                  <c:v>109414.0</c:v>
                </c:pt>
                <c:pt idx="130">
                  <c:v>147427.0</c:v>
                </c:pt>
                <c:pt idx="131">
                  <c:v>8520.0</c:v>
                </c:pt>
                <c:pt idx="132">
                  <c:v>214483.0</c:v>
                </c:pt>
                <c:pt idx="133">
                  <c:v>-61164.0</c:v>
                </c:pt>
                <c:pt idx="134">
                  <c:v>253193.0</c:v>
                </c:pt>
                <c:pt idx="135">
                  <c:v>51239.0</c:v>
                </c:pt>
                <c:pt idx="136">
                  <c:v>149035.0</c:v>
                </c:pt>
                <c:pt idx="137">
                  <c:v>43197.0</c:v>
                </c:pt>
                <c:pt idx="138">
                  <c:v>180995.0</c:v>
                </c:pt>
                <c:pt idx="139">
                  <c:v>87008.0</c:v>
                </c:pt>
                <c:pt idx="140">
                  <c:v>166292.0</c:v>
                </c:pt>
                <c:pt idx="141">
                  <c:v>-64578.0</c:v>
                </c:pt>
                <c:pt idx="142">
                  <c:v>112491.0</c:v>
                </c:pt>
                <c:pt idx="143">
                  <c:v>-10286.0</c:v>
                </c:pt>
                <c:pt idx="144">
                  <c:v>87291.0</c:v>
                </c:pt>
                <c:pt idx="145">
                  <c:v>110829.0</c:v>
                </c:pt>
                <c:pt idx="146">
                  <c:v>277182.0</c:v>
                </c:pt>
                <c:pt idx="147">
                  <c:v>-26536.0</c:v>
                </c:pt>
                <c:pt idx="148">
                  <c:v>457698.0</c:v>
                </c:pt>
                <c:pt idx="149">
                  <c:v>249770.0</c:v>
                </c:pt>
                <c:pt idx="150">
                  <c:v>142412.0</c:v>
                </c:pt>
                <c:pt idx="151">
                  <c:v>157284.0</c:v>
                </c:pt>
                <c:pt idx="152">
                  <c:v>250762.0</c:v>
                </c:pt>
                <c:pt idx="153">
                  <c:v>179501.0</c:v>
                </c:pt>
                <c:pt idx="154">
                  <c:v>-51961.0</c:v>
                </c:pt>
                <c:pt idx="155">
                  <c:v>26466.0</c:v>
                </c:pt>
                <c:pt idx="156">
                  <c:v>64077.0</c:v>
                </c:pt>
                <c:pt idx="157">
                  <c:v>276426.0</c:v>
                </c:pt>
                <c:pt idx="158">
                  <c:v>254206.0</c:v>
                </c:pt>
                <c:pt idx="159">
                  <c:v>420335.0</c:v>
                </c:pt>
                <c:pt idx="160">
                  <c:v>403902.0</c:v>
                </c:pt>
                <c:pt idx="161">
                  <c:v>416473.0</c:v>
                </c:pt>
                <c:pt idx="162">
                  <c:v>24430.0</c:v>
                </c:pt>
                <c:pt idx="163">
                  <c:v>195482.0</c:v>
                </c:pt>
                <c:pt idx="164">
                  <c:v>115421.0</c:v>
                </c:pt>
                <c:pt idx="165">
                  <c:v>595746.0</c:v>
                </c:pt>
                <c:pt idx="166">
                  <c:v>52911.0</c:v>
                </c:pt>
                <c:pt idx="167">
                  <c:v>-179692.0</c:v>
                </c:pt>
                <c:pt idx="168">
                  <c:v>-69909.0</c:v>
                </c:pt>
                <c:pt idx="169">
                  <c:v>32275.0</c:v>
                </c:pt>
                <c:pt idx="170">
                  <c:v>523236.0</c:v>
                </c:pt>
                <c:pt idx="171">
                  <c:v>16764.0</c:v>
                </c:pt>
                <c:pt idx="172">
                  <c:v>407964.0</c:v>
                </c:pt>
                <c:pt idx="173">
                  <c:v>64840.0</c:v>
                </c:pt>
                <c:pt idx="174">
                  <c:v>-233680.0</c:v>
                </c:pt>
                <c:pt idx="175">
                  <c:v>-251911.0</c:v>
                </c:pt>
                <c:pt idx="176">
                  <c:v>5651.0</c:v>
                </c:pt>
                <c:pt idx="177">
                  <c:v>-62298.0</c:v>
                </c:pt>
                <c:pt idx="178">
                  <c:v>167348.0</c:v>
                </c:pt>
                <c:pt idx="179">
                  <c:v>-71978.0</c:v>
                </c:pt>
                <c:pt idx="180">
                  <c:v>-177220.0</c:v>
                </c:pt>
                <c:pt idx="181">
                  <c:v>28482.0</c:v>
                </c:pt>
                <c:pt idx="182">
                  <c:v>-8061.0</c:v>
                </c:pt>
                <c:pt idx="183">
                  <c:v>215945.0</c:v>
                </c:pt>
                <c:pt idx="184">
                  <c:v>175373.0</c:v>
                </c:pt>
                <c:pt idx="185">
                  <c:v>454972.0</c:v>
                </c:pt>
                <c:pt idx="186">
                  <c:v>474.0</c:v>
                </c:pt>
                <c:pt idx="187">
                  <c:v>231979.0</c:v>
                </c:pt>
                <c:pt idx="188">
                  <c:v>229830.0</c:v>
                </c:pt>
                <c:pt idx="189">
                  <c:v>-38537.0</c:v>
                </c:pt>
                <c:pt idx="190">
                  <c:v>118859.0</c:v>
                </c:pt>
                <c:pt idx="191">
                  <c:v>-280000.0</c:v>
                </c:pt>
                <c:pt idx="192">
                  <c:v>-52970.0</c:v>
                </c:pt>
                <c:pt idx="193">
                  <c:v>-220289.0</c:v>
                </c:pt>
                <c:pt idx="194">
                  <c:v>324211.0</c:v>
                </c:pt>
                <c:pt idx="195">
                  <c:v>-123434.0</c:v>
                </c:pt>
                <c:pt idx="196">
                  <c:v>-121704.0</c:v>
                </c:pt>
                <c:pt idx="197">
                  <c:v>381530.0</c:v>
                </c:pt>
                <c:pt idx="198">
                  <c:v>-372710.0</c:v>
                </c:pt>
                <c:pt idx="199">
                  <c:v>-126302.0</c:v>
                </c:pt>
                <c:pt idx="200">
                  <c:v>240940.0</c:v>
                </c:pt>
                <c:pt idx="201">
                  <c:v>184135.0</c:v>
                </c:pt>
                <c:pt idx="202">
                  <c:v>-147743.0</c:v>
                </c:pt>
                <c:pt idx="203">
                  <c:v>-218758.0</c:v>
                </c:pt>
                <c:pt idx="204">
                  <c:v>-290236.0</c:v>
                </c:pt>
                <c:pt idx="205">
                  <c:v>-266960.0</c:v>
                </c:pt>
                <c:pt idx="206">
                  <c:v>434026.0</c:v>
                </c:pt>
                <c:pt idx="207">
                  <c:v>164609.0</c:v>
                </c:pt>
                <c:pt idx="208">
                  <c:v>446055.0</c:v>
                </c:pt>
                <c:pt idx="209">
                  <c:v>194403.0</c:v>
                </c:pt>
                <c:pt idx="210">
                  <c:v>-349032.0</c:v>
                </c:pt>
                <c:pt idx="211">
                  <c:v>44364.0</c:v>
                </c:pt>
                <c:pt idx="212">
                  <c:v>76214.0</c:v>
                </c:pt>
                <c:pt idx="213">
                  <c:v>-88677.0</c:v>
                </c:pt>
                <c:pt idx="214">
                  <c:v>-77594.0</c:v>
                </c:pt>
                <c:pt idx="215">
                  <c:v>-121470.0</c:v>
                </c:pt>
                <c:pt idx="216">
                  <c:v>-69772.0</c:v>
                </c:pt>
                <c:pt idx="217">
                  <c:v>79586.0</c:v>
                </c:pt>
                <c:pt idx="218">
                  <c:v>-1121.0</c:v>
                </c:pt>
                <c:pt idx="219">
                  <c:v>9885.0</c:v>
                </c:pt>
                <c:pt idx="220">
                  <c:v>217715.0</c:v>
                </c:pt>
                <c:pt idx="221">
                  <c:v>-26244.0</c:v>
                </c:pt>
                <c:pt idx="222">
                  <c:v>-110288.0</c:v>
                </c:pt>
                <c:pt idx="223">
                  <c:v>-102358.0</c:v>
                </c:pt>
                <c:pt idx="224">
                  <c:v>-40948.0</c:v>
                </c:pt>
                <c:pt idx="225">
                  <c:v>102350.0</c:v>
                </c:pt>
                <c:pt idx="226">
                  <c:v>228778.0</c:v>
                </c:pt>
                <c:pt idx="227">
                  <c:v>-211179.0</c:v>
                </c:pt>
                <c:pt idx="228">
                  <c:v>-227970.0</c:v>
                </c:pt>
                <c:pt idx="229">
                  <c:v>-268790.0</c:v>
                </c:pt>
                <c:pt idx="230">
                  <c:v>26287.0</c:v>
                </c:pt>
                <c:pt idx="231">
                  <c:v>174418.0</c:v>
                </c:pt>
                <c:pt idx="232">
                  <c:v>119169.0</c:v>
                </c:pt>
                <c:pt idx="233">
                  <c:v>748705.0</c:v>
                </c:pt>
                <c:pt idx="234">
                  <c:v>230657.0</c:v>
                </c:pt>
                <c:pt idx="235">
                  <c:v>114891.0</c:v>
                </c:pt>
                <c:pt idx="236">
                  <c:v>170534.0</c:v>
                </c:pt>
                <c:pt idx="237">
                  <c:v>350656.0</c:v>
                </c:pt>
                <c:pt idx="238">
                  <c:v>90307.0</c:v>
                </c:pt>
                <c:pt idx="239">
                  <c:v>-57392.0</c:v>
                </c:pt>
                <c:pt idx="240">
                  <c:v>82653.0</c:v>
                </c:pt>
                <c:pt idx="241">
                  <c:v>160431.0</c:v>
                </c:pt>
                <c:pt idx="242">
                  <c:v>154277.0</c:v>
                </c:pt>
                <c:pt idx="243">
                  <c:v>576385.0</c:v>
                </c:pt>
                <c:pt idx="244">
                  <c:v>633258.0</c:v>
                </c:pt>
                <c:pt idx="245">
                  <c:v>726588.0</c:v>
                </c:pt>
                <c:pt idx="246">
                  <c:v>576314.0</c:v>
                </c:pt>
                <c:pt idx="247">
                  <c:v>433317.0</c:v>
                </c:pt>
                <c:pt idx="248">
                  <c:v>503443.0</c:v>
                </c:pt>
                <c:pt idx="249">
                  <c:v>637324.0</c:v>
                </c:pt>
                <c:pt idx="250">
                  <c:v>4576.0</c:v>
                </c:pt>
                <c:pt idx="251">
                  <c:v>-120778.0</c:v>
                </c:pt>
                <c:pt idx="252">
                  <c:v>-156557.0</c:v>
                </c:pt>
                <c:pt idx="253">
                  <c:v>96262.0</c:v>
                </c:pt>
                <c:pt idx="254">
                  <c:v>365145.0</c:v>
                </c:pt>
                <c:pt idx="255">
                  <c:v>73987.0</c:v>
                </c:pt>
                <c:pt idx="256">
                  <c:v>-219974.0</c:v>
                </c:pt>
                <c:pt idx="257">
                  <c:v>145102.0</c:v>
                </c:pt>
                <c:pt idx="258">
                  <c:v>140017.0</c:v>
                </c:pt>
                <c:pt idx="259">
                  <c:v>433882.0</c:v>
                </c:pt>
                <c:pt idx="260">
                  <c:v>-106.0</c:v>
                </c:pt>
                <c:pt idx="261">
                  <c:v>-101578.0</c:v>
                </c:pt>
                <c:pt idx="262">
                  <c:v>-28807.0</c:v>
                </c:pt>
                <c:pt idx="263">
                  <c:v>-201599.0</c:v>
                </c:pt>
                <c:pt idx="264">
                  <c:v>-376885.0</c:v>
                </c:pt>
                <c:pt idx="265">
                  <c:v>-264312.0</c:v>
                </c:pt>
                <c:pt idx="266">
                  <c:v>-299192.0</c:v>
                </c:pt>
                <c:pt idx="267">
                  <c:v>598107.0</c:v>
                </c:pt>
                <c:pt idx="268">
                  <c:v>598853.0</c:v>
                </c:pt>
                <c:pt idx="269">
                  <c:v>699684.0</c:v>
                </c:pt>
                <c:pt idx="270">
                  <c:v>102285.0</c:v>
                </c:pt>
                <c:pt idx="271">
                  <c:v>421137.0</c:v>
                </c:pt>
                <c:pt idx="272">
                  <c:v>262188.0</c:v>
                </c:pt>
                <c:pt idx="273">
                  <c:v>-25329.0</c:v>
                </c:pt>
                <c:pt idx="274">
                  <c:v>82905.0</c:v>
                </c:pt>
                <c:pt idx="275">
                  <c:v>137712.0</c:v>
                </c:pt>
                <c:pt idx="276">
                  <c:v>-39094.0</c:v>
                </c:pt>
                <c:pt idx="277">
                  <c:v>12074.0</c:v>
                </c:pt>
                <c:pt idx="278">
                  <c:v>141549.0</c:v>
                </c:pt>
                <c:pt idx="279">
                  <c:v>266189.0</c:v>
                </c:pt>
                <c:pt idx="280">
                  <c:v>559632.0</c:v>
                </c:pt>
                <c:pt idx="281">
                  <c:v>425432.0</c:v>
                </c:pt>
                <c:pt idx="282">
                  <c:v>156597.0</c:v>
                </c:pt>
                <c:pt idx="283">
                  <c:v>598697.0</c:v>
                </c:pt>
                <c:pt idx="284">
                  <c:v>241276.0</c:v>
                </c:pt>
                <c:pt idx="285">
                  <c:v>128161.0</c:v>
                </c:pt>
                <c:pt idx="286">
                  <c:v>133417.0</c:v>
                </c:pt>
                <c:pt idx="287">
                  <c:v>-678217.0</c:v>
                </c:pt>
                <c:pt idx="288">
                  <c:v>-270510.0</c:v>
                </c:pt>
                <c:pt idx="289">
                  <c:v>-260145.0</c:v>
                </c:pt>
                <c:pt idx="290">
                  <c:v>-347547.0</c:v>
                </c:pt>
                <c:pt idx="291">
                  <c:v>-268713.0</c:v>
                </c:pt>
                <c:pt idx="292">
                  <c:v>429860.0</c:v>
                </c:pt>
                <c:pt idx="293">
                  <c:v>218642.0</c:v>
                </c:pt>
                <c:pt idx="294">
                  <c:v>10771.0</c:v>
                </c:pt>
                <c:pt idx="295">
                  <c:v>400088.0</c:v>
                </c:pt>
                <c:pt idx="296">
                  <c:v>-244827.0</c:v>
                </c:pt>
                <c:pt idx="297">
                  <c:v>324540.0</c:v>
                </c:pt>
                <c:pt idx="298">
                  <c:v>-130875.0</c:v>
                </c:pt>
                <c:pt idx="299">
                  <c:v>196114.0</c:v>
                </c:pt>
                <c:pt idx="300">
                  <c:v>-156870.0</c:v>
                </c:pt>
                <c:pt idx="301">
                  <c:v>-115365.0</c:v>
                </c:pt>
                <c:pt idx="302">
                  <c:v>-58604.0</c:v>
                </c:pt>
                <c:pt idx="303">
                  <c:v>186018.0</c:v>
                </c:pt>
                <c:pt idx="304">
                  <c:v>-141490.0</c:v>
                </c:pt>
                <c:pt idx="305">
                  <c:v>63115.0</c:v>
                </c:pt>
                <c:pt idx="306">
                  <c:v>57801.0</c:v>
                </c:pt>
                <c:pt idx="307">
                  <c:v>15943.0</c:v>
                </c:pt>
                <c:pt idx="308">
                  <c:v>496763.0</c:v>
                </c:pt>
                <c:pt idx="309">
                  <c:v>225816.0</c:v>
                </c:pt>
                <c:pt idx="310">
                  <c:v>0.0</c:v>
                </c:pt>
                <c:pt idx="311">
                  <c:v>0.0</c:v>
                </c:pt>
                <c:pt idx="314">
                  <c:v>62840.77528076923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1FB714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'Month S&amp;P'!$A$3:$A$320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S&amp;P'!$N$1:$N$320</c:f>
              <c:numCache>
                <c:formatCode>General</c:formatCode>
                <c:ptCount val="320"/>
                <c:pt idx="0" formatCode="#,##0.00_);[Red]\(#,##0.00\)">
                  <c:v>2.0</c:v>
                </c:pt>
                <c:pt idx="1">
                  <c:v>0.0</c:v>
                </c:pt>
                <c:pt idx="62" formatCode="#,##0_);[Red]\(#,##0\)">
                  <c:v>344900.1276456852</c:v>
                </c:pt>
                <c:pt idx="63" formatCode="#,##0_);[Red]\(#,##0\)">
                  <c:v>344583.5682613835</c:v>
                </c:pt>
                <c:pt idx="64" formatCode="#,##0_);[Red]\(#,##0\)">
                  <c:v>345149.5280885014</c:v>
                </c:pt>
                <c:pt idx="65" formatCode="#,##0_);[Red]\(#,##0\)">
                  <c:v>345419.8950606881</c:v>
                </c:pt>
                <c:pt idx="66" formatCode="#,##0_);[Red]\(#,##0\)">
                  <c:v>347981.0525941009</c:v>
                </c:pt>
                <c:pt idx="67" formatCode="#,##0_);[Red]\(#,##0\)">
                  <c:v>350029.935279962</c:v>
                </c:pt>
                <c:pt idx="68" formatCode="#,##0_);[Red]\(#,##0\)">
                  <c:v>342040.6893128356</c:v>
                </c:pt>
                <c:pt idx="69" formatCode="#,##0_);[Red]\(#,##0\)">
                  <c:v>339419.0376839984</c:v>
                </c:pt>
                <c:pt idx="70" formatCode="#,##0_);[Red]\(#,##0\)">
                  <c:v>333477.046422426</c:v>
                </c:pt>
                <c:pt idx="71" formatCode="#,##0_);[Red]\(#,##0\)">
                  <c:v>332437.1650588242</c:v>
                </c:pt>
                <c:pt idx="72" formatCode="#,##0_);[Red]\(#,##0\)">
                  <c:v>337822.4888358237</c:v>
                </c:pt>
                <c:pt idx="73" formatCode="#,##0_);[Red]\(#,##0\)">
                  <c:v>332412.202165079</c:v>
                </c:pt>
                <c:pt idx="74" formatCode="#,##0_);[Red]\(#,##0\)">
                  <c:v>339968.9237833553</c:v>
                </c:pt>
                <c:pt idx="75" formatCode="#,##0_);[Red]\(#,##0\)">
                  <c:v>341346.0402507263</c:v>
                </c:pt>
                <c:pt idx="76" formatCode="#,##0_);[Red]\(#,##0\)">
                  <c:v>343125.7795143642</c:v>
                </c:pt>
                <c:pt idx="77" formatCode="#,##0_);[Red]\(#,##0\)">
                  <c:v>342304.3984124162</c:v>
                </c:pt>
                <c:pt idx="78" formatCode="#,##0_);[Red]\(#,##0\)">
                  <c:v>340958.3946913948</c:v>
                </c:pt>
                <c:pt idx="79" formatCode="#,##0_);[Red]\(#,##0\)">
                  <c:v>351144.6701641953</c:v>
                </c:pt>
                <c:pt idx="80" formatCode="#,##0_);[Red]\(#,##0\)">
                  <c:v>350788.585599363</c:v>
                </c:pt>
                <c:pt idx="81" formatCode="#,##0_);[Red]\(#,##0\)">
                  <c:v>352004.8631946786</c:v>
                </c:pt>
                <c:pt idx="82" formatCode="#,##0_);[Red]\(#,##0\)">
                  <c:v>354061.0828450709</c:v>
                </c:pt>
                <c:pt idx="83" formatCode="#,##0_);[Red]\(#,##0\)">
                  <c:v>354249.825963676</c:v>
                </c:pt>
                <c:pt idx="84" formatCode="#,##0_);[Red]\(#,##0\)">
                  <c:v>363496.6340780358</c:v>
                </c:pt>
                <c:pt idx="85" formatCode="#,##0_);[Red]\(#,##0\)">
                  <c:v>363132.2233395977</c:v>
                </c:pt>
                <c:pt idx="86" formatCode="#,##0_);[Red]\(#,##0\)">
                  <c:v>367941.2051116985</c:v>
                </c:pt>
                <c:pt idx="87" formatCode="#,##0_);[Red]\(#,##0\)">
                  <c:v>367067.7547004088</c:v>
                </c:pt>
                <c:pt idx="88" formatCode="#,##0_);[Red]\(#,##0\)">
                  <c:v>358209.2108092458</c:v>
                </c:pt>
                <c:pt idx="89" formatCode="#,##0_);[Red]\(#,##0\)">
                  <c:v>361157.0057526404</c:v>
                </c:pt>
                <c:pt idx="90" formatCode="#,##0_);[Red]\(#,##0\)">
                  <c:v>361401.878791392</c:v>
                </c:pt>
                <c:pt idx="91" formatCode="#,##0_);[Red]\(#,##0\)">
                  <c:v>357857.0284831886</c:v>
                </c:pt>
                <c:pt idx="92" formatCode="#,##0_);[Red]\(#,##0\)">
                  <c:v>354668.0320180324</c:v>
                </c:pt>
                <c:pt idx="93" formatCode="#,##0_);[Red]\(#,##0\)">
                  <c:v>362987.2085640647</c:v>
                </c:pt>
                <c:pt idx="94" formatCode="#,##0_);[Red]\(#,##0\)">
                  <c:v>355496.4099524067</c:v>
                </c:pt>
                <c:pt idx="95" formatCode="#,##0_);[Red]\(#,##0\)">
                  <c:v>355568.415223442</c:v>
                </c:pt>
                <c:pt idx="96" formatCode="#,##0_);[Red]\(#,##0\)">
                  <c:v>364683.0639525428</c:v>
                </c:pt>
                <c:pt idx="97" formatCode="#,##0_);[Red]\(#,##0\)">
                  <c:v>367374.5465716038</c:v>
                </c:pt>
                <c:pt idx="98" formatCode="#,##0_);[Red]\(#,##0\)">
                  <c:v>363668.6419654028</c:v>
                </c:pt>
                <c:pt idx="99" formatCode="#,##0_);[Red]\(#,##0\)">
                  <c:v>366934.0662993614</c:v>
                </c:pt>
                <c:pt idx="100" formatCode="#,##0_);[Red]\(#,##0\)">
                  <c:v>370442.2953045748</c:v>
                </c:pt>
                <c:pt idx="101" formatCode="#,##0_);[Red]\(#,##0\)">
                  <c:v>368975.8852430176</c:v>
                </c:pt>
                <c:pt idx="102" formatCode="#,##0_);[Red]\(#,##0\)">
                  <c:v>368220.2248016567</c:v>
                </c:pt>
                <c:pt idx="103" formatCode="#,##0_);[Red]\(#,##0\)">
                  <c:v>365767.3329003419</c:v>
                </c:pt>
                <c:pt idx="104" formatCode="#,##0_);[Red]\(#,##0\)">
                  <c:v>369651.0433572088</c:v>
                </c:pt>
                <c:pt idx="105" formatCode="#,##0_);[Red]\(#,##0\)">
                  <c:v>367502.1481059903</c:v>
                </c:pt>
                <c:pt idx="106" formatCode="#,##0_);[Red]\(#,##0\)">
                  <c:v>366556.3093999291</c:v>
                </c:pt>
                <c:pt idx="107" formatCode="#,##0_);[Red]\(#,##0\)">
                  <c:v>358445.2234494205</c:v>
                </c:pt>
                <c:pt idx="108" formatCode="#,##0_);[Red]\(#,##0\)">
                  <c:v>351826.5377743348</c:v>
                </c:pt>
                <c:pt idx="109" formatCode="#,##0_);[Red]\(#,##0\)">
                  <c:v>350621.5536703485</c:v>
                </c:pt>
                <c:pt idx="110" formatCode="#,##0_);[Red]\(#,##0\)">
                  <c:v>351469.4944291615</c:v>
                </c:pt>
                <c:pt idx="111" formatCode="#,##0_);[Red]\(#,##0\)">
                  <c:v>352219.7671632532</c:v>
                </c:pt>
                <c:pt idx="112" formatCode="#,##0_);[Red]\(#,##0\)">
                  <c:v>350744.2120904114</c:v>
                </c:pt>
                <c:pt idx="113" formatCode="#,##0_);[Red]\(#,##0\)">
                  <c:v>351360.3464688272</c:v>
                </c:pt>
                <c:pt idx="114" formatCode="#,##0_);[Red]\(#,##0\)">
                  <c:v>347333.7482860417</c:v>
                </c:pt>
                <c:pt idx="115" formatCode="#,##0_);[Red]\(#,##0\)">
                  <c:v>343830.3811891366</c:v>
                </c:pt>
                <c:pt idx="116" formatCode="#,##0_);[Red]\(#,##0\)">
                  <c:v>328160.2568091822</c:v>
                </c:pt>
                <c:pt idx="117" formatCode="#,##0_);[Red]\(#,##0\)">
                  <c:v>326694.3428915653</c:v>
                </c:pt>
                <c:pt idx="118" formatCode="#,##0_);[Red]\(#,##0\)">
                  <c:v>327422.9550544602</c:v>
                </c:pt>
                <c:pt idx="119" formatCode="#,##0_);[Red]\(#,##0\)">
                  <c:v>334224.8075948454</c:v>
                </c:pt>
                <c:pt idx="120" formatCode="#,##0_);[Red]\(#,##0\)">
                  <c:v>331509.856849191</c:v>
                </c:pt>
                <c:pt idx="121" formatCode="#,##0_);[Red]\(#,##0\)">
                  <c:v>319873.6709201033</c:v>
                </c:pt>
                <c:pt idx="122" formatCode="#,##0_);[Red]\(#,##0\)">
                  <c:v>321139.8653079048</c:v>
                </c:pt>
                <c:pt idx="123" formatCode="#,##0_);[Red]\(#,##0\)">
                  <c:v>322252.0175846162</c:v>
                </c:pt>
                <c:pt idx="124" formatCode="#,##0_);[Red]\(#,##0\)">
                  <c:v>321043.967693902</c:v>
                </c:pt>
                <c:pt idx="125" formatCode="#,##0_);[Red]\(#,##0\)">
                  <c:v>318502.942595063</c:v>
                </c:pt>
                <c:pt idx="126" formatCode="#,##0_);[Red]\(#,##0\)">
                  <c:v>316124.0862614511</c:v>
                </c:pt>
                <c:pt idx="127" formatCode="#,##0_);[Red]\(#,##0\)">
                  <c:v>309435.7410776584</c:v>
                </c:pt>
                <c:pt idx="128" formatCode="#,##0_);[Red]\(#,##0\)">
                  <c:v>309601.0078327879</c:v>
                </c:pt>
                <c:pt idx="129" formatCode="#,##0_);[Red]\(#,##0\)">
                  <c:v>308057.5791047324</c:v>
                </c:pt>
                <c:pt idx="130" formatCode="#,##0_);[Red]\(#,##0\)">
                  <c:v>316879.5559490727</c:v>
                </c:pt>
                <c:pt idx="131" formatCode="#,##0_);[Red]\(#,##0\)">
                  <c:v>318110.3242235541</c:v>
                </c:pt>
                <c:pt idx="132" formatCode="#,##0_);[Red]\(#,##0\)">
                  <c:v>315752.1892150674</c:v>
                </c:pt>
                <c:pt idx="133" formatCode="#,##0_);[Red]\(#,##0\)">
                  <c:v>315680.4898152226</c:v>
                </c:pt>
                <c:pt idx="134" formatCode="#,##0_);[Red]\(#,##0\)">
                  <c:v>322361.6129999746</c:v>
                </c:pt>
                <c:pt idx="135" formatCode="#,##0_);[Red]\(#,##0\)">
                  <c:v>322078.6442755181</c:v>
                </c:pt>
                <c:pt idx="136" formatCode="#,##0_);[Red]\(#,##0\)">
                  <c:v>330289.8344786686</c:v>
                </c:pt>
                <c:pt idx="137" formatCode="#,##0_);[Red]\(#,##0\)">
                  <c:v>332000.5655103</c:v>
                </c:pt>
                <c:pt idx="138" formatCode="#,##0_);[Red]\(#,##0\)">
                  <c:v>336965.2177991636</c:v>
                </c:pt>
                <c:pt idx="139" formatCode="#,##0_);[Red]\(#,##0\)">
                  <c:v>320820.0910098907</c:v>
                </c:pt>
                <c:pt idx="140" formatCode="#,##0_);[Red]\(#,##0\)">
                  <c:v>327985.4651341836</c:v>
                </c:pt>
                <c:pt idx="141" formatCode="#,##0_);[Red]\(#,##0\)">
                  <c:v>325834.7838347355</c:v>
                </c:pt>
                <c:pt idx="142" formatCode="#,##0_);[Red]\(#,##0\)">
                  <c:v>322884.2748481926</c:v>
                </c:pt>
                <c:pt idx="143" formatCode="#,##0_);[Red]\(#,##0\)">
                  <c:v>318117.4233269687</c:v>
                </c:pt>
                <c:pt idx="144" formatCode="#,##0_);[Red]\(#,##0\)">
                  <c:v>307413.2718710022</c:v>
                </c:pt>
                <c:pt idx="145" formatCode="#,##0_);[Red]\(#,##0\)">
                  <c:v>307372.9877811118</c:v>
                </c:pt>
                <c:pt idx="146" formatCode="#,##0_);[Red]\(#,##0\)">
                  <c:v>306107.8099782927</c:v>
                </c:pt>
                <c:pt idx="147" formatCode="#,##0_);[Red]\(#,##0\)">
                  <c:v>309973.574794812</c:v>
                </c:pt>
                <c:pt idx="148" formatCode="#,##0_);[Red]\(#,##0\)">
                  <c:v>323110.0757981959</c:v>
                </c:pt>
                <c:pt idx="149" formatCode="#,##0_);[Red]\(#,##0\)">
                  <c:v>320577.7900366241</c:v>
                </c:pt>
                <c:pt idx="150" formatCode="#,##0_);[Red]\(#,##0\)">
                  <c:v>349036.288179744</c:v>
                </c:pt>
                <c:pt idx="151" formatCode="#,##0_);[Red]\(#,##0\)">
                  <c:v>358843.5980556796</c:v>
                </c:pt>
                <c:pt idx="152" formatCode="#,##0_);[Red]\(#,##0\)">
                  <c:v>362836.3282151055</c:v>
                </c:pt>
                <c:pt idx="153" formatCode="#,##0_);[Red]\(#,##0\)">
                  <c:v>355175.1966655154</c:v>
                </c:pt>
                <c:pt idx="154" formatCode="#,##0_);[Red]\(#,##0\)">
                  <c:v>363795.7376480194</c:v>
                </c:pt>
                <c:pt idx="155" formatCode="#,##0_);[Red]\(#,##0\)">
                  <c:v>369141.9457969563</c:v>
                </c:pt>
                <c:pt idx="156" formatCode="#,##0_);[Red]\(#,##0\)">
                  <c:v>359870.5898066153</c:v>
                </c:pt>
                <c:pt idx="157" formatCode="#,##0_);[Red]\(#,##0\)">
                  <c:v>357655.4063801851</c:v>
                </c:pt>
                <c:pt idx="158" formatCode="#,##0_);[Red]\(#,##0\)">
                  <c:v>357523.1923996764</c:v>
                </c:pt>
                <c:pt idx="159" formatCode="#,##0_);[Red]\(#,##0\)">
                  <c:v>364838.8616928965</c:v>
                </c:pt>
                <c:pt idx="160" formatCode="#,##0_);[Red]\(#,##0\)">
                  <c:v>369630.8170993864</c:v>
                </c:pt>
                <c:pt idx="161" formatCode="#,##0_);[Red]\(#,##0\)">
                  <c:v>390586.6947908814</c:v>
                </c:pt>
                <c:pt idx="162" formatCode="#,##0_);[Red]\(#,##0\)">
                  <c:v>405308.7168187648</c:v>
                </c:pt>
                <c:pt idx="163" formatCode="#,##0_);[Red]\(#,##0\)">
                  <c:v>424107.2325060743</c:v>
                </c:pt>
                <c:pt idx="164" formatCode="#,##0_);[Red]\(#,##0\)">
                  <c:v>413647.3989854163</c:v>
                </c:pt>
                <c:pt idx="165" formatCode="#,##0_);[Red]\(#,##0\)">
                  <c:v>417646.8964857525</c:v>
                </c:pt>
                <c:pt idx="166" formatCode="#,##0_);[Red]\(#,##0\)">
                  <c:v>418214.3471915185</c:v>
                </c:pt>
                <c:pt idx="167" formatCode="#,##0_);[Red]\(#,##0\)">
                  <c:v>445249.201825908</c:v>
                </c:pt>
                <c:pt idx="168" formatCode="#,##0_);[Red]\(#,##0\)">
                  <c:v>442786.178004047</c:v>
                </c:pt>
                <c:pt idx="169" formatCode="#,##0_);[Red]\(#,##0\)">
                  <c:v>442771.7614140668</c:v>
                </c:pt>
                <c:pt idx="170" formatCode="#,##0_);[Red]\(#,##0\)">
                  <c:v>442393.9284147073</c:v>
                </c:pt>
                <c:pt idx="171" formatCode="#,##0_);[Red]\(#,##0\)">
                  <c:v>442539.0027501406</c:v>
                </c:pt>
                <c:pt idx="172" formatCode="#,##0_);[Red]\(#,##0\)">
                  <c:v>468295.486983965</c:v>
                </c:pt>
                <c:pt idx="173" formatCode="#,##0_);[Red]\(#,##0\)">
                  <c:v>464201.4203251043</c:v>
                </c:pt>
                <c:pt idx="174" formatCode="#,##0_);[Red]\(#,##0\)">
                  <c:v>478854.854808472</c:v>
                </c:pt>
                <c:pt idx="175" formatCode="#,##0_);[Red]\(#,##0\)">
                  <c:v>476699.0490216583</c:v>
                </c:pt>
                <c:pt idx="176" formatCode="#,##0_);[Red]\(#,##0\)">
                  <c:v>480925.1861128194</c:v>
                </c:pt>
                <c:pt idx="177" formatCode="#,##0_);[Red]\(#,##0\)">
                  <c:v>486423.5913364954</c:v>
                </c:pt>
                <c:pt idx="178" formatCode="#,##0_);[Red]\(#,##0\)">
                  <c:v>485975.2229813413</c:v>
                </c:pt>
                <c:pt idx="179" formatCode="#,##0_);[Red]\(#,##0\)">
                  <c:v>483125.0045905189</c:v>
                </c:pt>
                <c:pt idx="180" formatCode="#,##0_);[Red]\(#,##0\)">
                  <c:v>485529.8821368245</c:v>
                </c:pt>
                <c:pt idx="181" formatCode="#,##0_);[Red]\(#,##0\)">
                  <c:v>485593.2394321711</c:v>
                </c:pt>
                <c:pt idx="182" formatCode="#,##0_);[Red]\(#,##0\)">
                  <c:v>487146.2937738377</c:v>
                </c:pt>
                <c:pt idx="183" formatCode="#,##0_);[Red]\(#,##0\)">
                  <c:v>484264.6513928408</c:v>
                </c:pt>
                <c:pt idx="184" formatCode="#,##0_);[Red]\(#,##0\)">
                  <c:v>482591.6846015378</c:v>
                </c:pt>
                <c:pt idx="185" formatCode="#,##0_);[Red]\(#,##0\)">
                  <c:v>486691.8667855418</c:v>
                </c:pt>
                <c:pt idx="186" formatCode="#,##0_);[Red]\(#,##0\)">
                  <c:v>484005.9502550198</c:v>
                </c:pt>
                <c:pt idx="187" formatCode="#,##0_);[Red]\(#,##0\)">
                  <c:v>501318.5546021065</c:v>
                </c:pt>
                <c:pt idx="188" formatCode="#,##0_);[Red]\(#,##0\)">
                  <c:v>501129.7871116536</c:v>
                </c:pt>
                <c:pt idx="189" formatCode="#,##0_);[Red]\(#,##0\)">
                  <c:v>503759.573204768</c:v>
                </c:pt>
                <c:pt idx="190" formatCode="#,##0_);[Red]\(#,##0\)">
                  <c:v>489465.724200816</c:v>
                </c:pt>
                <c:pt idx="191" formatCode="#,##0_);[Red]\(#,##0\)">
                  <c:v>489461.1875697265</c:v>
                </c:pt>
                <c:pt idx="192" formatCode="#,##0_);[Red]\(#,##0\)">
                  <c:v>488933.5980214286</c:v>
                </c:pt>
                <c:pt idx="193" formatCode="#,##0_);[Red]\(#,##0\)">
                  <c:v>497596.0917923698</c:v>
                </c:pt>
                <c:pt idx="194" formatCode="#,##0_);[Red]\(#,##0\)">
                  <c:v>494827.1273144281</c:v>
                </c:pt>
                <c:pt idx="195" formatCode="#,##0_);[Red]\(#,##0\)">
                  <c:v>499283.3665145595</c:v>
                </c:pt>
                <c:pt idx="196" formatCode="#,##0_);[Red]\(#,##0\)">
                  <c:v>502655.2105764647</c:v>
                </c:pt>
                <c:pt idx="197" formatCode="#,##0_);[Red]\(#,##0\)">
                  <c:v>504182.9094482203</c:v>
                </c:pt>
                <c:pt idx="198" formatCode="#,##0_);[Red]\(#,##0\)">
                  <c:v>504001.1843145948</c:v>
                </c:pt>
                <c:pt idx="199" formatCode="#,##0_);[Red]\(#,##0\)">
                  <c:v>515604.295439364</c:v>
                </c:pt>
                <c:pt idx="200" formatCode="#,##0_);[Red]\(#,##0\)">
                  <c:v>524680.2093405866</c:v>
                </c:pt>
                <c:pt idx="201" formatCode="#,##0_);[Red]\(#,##0\)">
                  <c:v>525182.2608023498</c:v>
                </c:pt>
                <c:pt idx="202" formatCode="#,##0_);[Red]\(#,##0\)">
                  <c:v>527669.4947377471</c:v>
                </c:pt>
                <c:pt idx="203" formatCode="#,##0_);[Red]\(#,##0\)">
                  <c:v>530181.734065415</c:v>
                </c:pt>
                <c:pt idx="204" formatCode="#,##0_);[Red]\(#,##0\)">
                  <c:v>530723.4659886817</c:v>
                </c:pt>
                <c:pt idx="205" formatCode="#,##0_);[Red]\(#,##0\)">
                  <c:v>534124.4694362196</c:v>
                </c:pt>
                <c:pt idx="206" formatCode="#,##0_);[Red]\(#,##0\)">
                  <c:v>538997.4179538376</c:v>
                </c:pt>
                <c:pt idx="207" formatCode="#,##0_);[Red]\(#,##0\)">
                  <c:v>541948.8583668323</c:v>
                </c:pt>
                <c:pt idx="208" formatCode="#,##0_);[Red]\(#,##0\)">
                  <c:v>550807.3964063227</c:v>
                </c:pt>
                <c:pt idx="209" formatCode="#,##0_);[Red]\(#,##0\)">
                  <c:v>553490.3611277794</c:v>
                </c:pt>
                <c:pt idx="210" formatCode="#,##0_);[Red]\(#,##0\)">
                  <c:v>552678.9418412585</c:v>
                </c:pt>
                <c:pt idx="211" formatCode="#,##0_);[Red]\(#,##0\)">
                  <c:v>550670.759055513</c:v>
                </c:pt>
                <c:pt idx="212" formatCode="#,##0_);[Red]\(#,##0\)">
                  <c:v>555727.5770597137</c:v>
                </c:pt>
                <c:pt idx="213" formatCode="#,##0_);[Red]\(#,##0\)">
                  <c:v>553485.4616403144</c:v>
                </c:pt>
                <c:pt idx="214" formatCode="#,##0_);[Red]\(#,##0\)">
                  <c:v>548397.0448661026</c:v>
                </c:pt>
                <c:pt idx="215" formatCode="#,##0_);[Red]\(#,##0\)">
                  <c:v>544959.5587222992</c:v>
                </c:pt>
                <c:pt idx="216" formatCode="#,##0_);[Red]\(#,##0\)">
                  <c:v>545024.9351724199</c:v>
                </c:pt>
                <c:pt idx="217" formatCode="#,##0_);[Red]\(#,##0\)">
                  <c:v>544999.4851019979</c:v>
                </c:pt>
                <c:pt idx="218" formatCode="#,##0_);[Red]\(#,##0\)">
                  <c:v>544076.3194456821</c:v>
                </c:pt>
                <c:pt idx="219" formatCode="#,##0_);[Red]\(#,##0\)">
                  <c:v>537590.964324821</c:v>
                </c:pt>
                <c:pt idx="220" formatCode="#,##0_);[Red]\(#,##0\)">
                  <c:v>530893.2554832573</c:v>
                </c:pt>
                <c:pt idx="221" formatCode="#,##0_);[Red]\(#,##0\)">
                  <c:v>514487.9547845531</c:v>
                </c:pt>
                <c:pt idx="222" formatCode="#,##0_);[Red]\(#,##0\)">
                  <c:v>504206.6014943107</c:v>
                </c:pt>
                <c:pt idx="223" formatCode="#,##0_);[Red]\(#,##0\)">
                  <c:v>486773.6933022534</c:v>
                </c:pt>
                <c:pt idx="224" formatCode="#,##0_);[Red]\(#,##0\)">
                  <c:v>486200.600420075</c:v>
                </c:pt>
                <c:pt idx="225" formatCode="#,##0_);[Red]\(#,##0\)">
                  <c:v>480733.3661033263</c:v>
                </c:pt>
                <c:pt idx="226" formatCode="#,##0_);[Red]\(#,##0\)">
                  <c:v>477994.0037640677</c:v>
                </c:pt>
                <c:pt idx="227" formatCode="#,##0_);[Red]\(#,##0\)">
                  <c:v>444960.1240149377</c:v>
                </c:pt>
                <c:pt idx="228" formatCode="#,##0_);[Red]\(#,##0\)">
                  <c:v>451185.5967028302</c:v>
                </c:pt>
                <c:pt idx="229" formatCode="#,##0_);[Red]\(#,##0\)">
                  <c:v>451762.3237658137</c:v>
                </c:pt>
                <c:pt idx="230" formatCode="#,##0_);[Red]\(#,##0\)">
                  <c:v>453422.9738433431</c:v>
                </c:pt>
                <c:pt idx="231" formatCode="#,##0_);[Red]\(#,##0\)">
                  <c:v>454864.9505235889</c:v>
                </c:pt>
                <c:pt idx="232" formatCode="#,##0_);[Red]\(#,##0\)">
                  <c:v>425938.9433211884</c:v>
                </c:pt>
                <c:pt idx="233" formatCode="#,##0_);[Red]\(#,##0\)">
                  <c:v>430755.9381649603</c:v>
                </c:pt>
                <c:pt idx="234" formatCode="#,##0_);[Red]\(#,##0\)">
                  <c:v>413879.5251936276</c:v>
                </c:pt>
                <c:pt idx="235" formatCode="#,##0_);[Red]\(#,##0\)">
                  <c:v>467949.7993136464</c:v>
                </c:pt>
                <c:pt idx="236" formatCode="#,##0_);[Red]\(#,##0\)">
                  <c:v>474067.0843932175</c:v>
                </c:pt>
                <c:pt idx="237" formatCode="#,##0_);[Red]\(#,##0\)">
                  <c:v>474766.08760387</c:v>
                </c:pt>
                <c:pt idx="238" formatCode="#,##0_);[Red]\(#,##0\)">
                  <c:v>478901.8430357876</c:v>
                </c:pt>
                <c:pt idx="239" formatCode="#,##0_);[Red]\(#,##0\)">
                  <c:v>492433.8748323691</c:v>
                </c:pt>
                <c:pt idx="240" formatCode="#,##0_);[Red]\(#,##0\)">
                  <c:v>490127.4342507445</c:v>
                </c:pt>
                <c:pt idx="241" formatCode="#,##0_);[Red]\(#,##0\)">
                  <c:v>490140.3172570666</c:v>
                </c:pt>
                <c:pt idx="242" formatCode="#,##0_);[Red]\(#,##0\)">
                  <c:v>490946.8449494225</c:v>
                </c:pt>
                <c:pt idx="243" formatCode="#,##0_);[Red]\(#,##0\)">
                  <c:v>494123.168238781</c:v>
                </c:pt>
                <c:pt idx="244" formatCode="#,##0_);[Red]\(#,##0\)">
                  <c:v>497443.7706623015</c:v>
                </c:pt>
                <c:pt idx="245" formatCode="#,##0_);[Red]\(#,##0\)">
                  <c:v>521822.8025115306</c:v>
                </c:pt>
                <c:pt idx="246" formatCode="#,##0_);[Red]\(#,##0\)">
                  <c:v>551882.332877001</c:v>
                </c:pt>
                <c:pt idx="247" formatCode="#,##0_);[Red]\(#,##0\)">
                  <c:v>575818.683390592</c:v>
                </c:pt>
                <c:pt idx="248" formatCode="#,##0_);[Red]\(#,##0\)">
                  <c:v>601745.3580574587</c:v>
                </c:pt>
                <c:pt idx="249" formatCode="#,##0_);[Red]\(#,##0\)">
                  <c:v>611663.5816678643</c:v>
                </c:pt>
                <c:pt idx="250" formatCode="#,##0_);[Red]\(#,##0\)">
                  <c:v>626045.1693858443</c:v>
                </c:pt>
                <c:pt idx="251" formatCode="#,##0_);[Red]\(#,##0\)">
                  <c:v>654703.36705334</c:v>
                </c:pt>
                <c:pt idx="252" formatCode="#,##0_);[Red]\(#,##0\)">
                  <c:v>653266.3896685601</c:v>
                </c:pt>
                <c:pt idx="253" formatCode="#,##0_);[Red]\(#,##0\)">
                  <c:v>650168.4129067813</c:v>
                </c:pt>
                <c:pt idx="254" formatCode="#,##0_);[Red]\(#,##0\)">
                  <c:v>650989.0489367385</c:v>
                </c:pt>
                <c:pt idx="255" formatCode="#,##0_);[Red]\(#,##0\)">
                  <c:v>650047.1314725216</c:v>
                </c:pt>
                <c:pt idx="256" formatCode="#,##0_);[Red]\(#,##0\)">
                  <c:v>651958.827252542</c:v>
                </c:pt>
                <c:pt idx="257" formatCode="#,##0_);[Red]\(#,##0\)">
                  <c:v>652135.1376367965</c:v>
                </c:pt>
                <c:pt idx="258" formatCode="#,##0_);[Red]\(#,##0\)">
                  <c:v>653829.8151325003</c:v>
                </c:pt>
                <c:pt idx="259" formatCode="#,##0_);[Red]\(#,##0\)">
                  <c:v>645146.8932441914</c:v>
                </c:pt>
                <c:pt idx="260" formatCode="#,##0_);[Red]\(#,##0\)">
                  <c:v>639522.9059679736</c:v>
                </c:pt>
                <c:pt idx="261" formatCode="#,##0_);[Red]\(#,##0\)">
                  <c:v>651813.9227059301</c:v>
                </c:pt>
                <c:pt idx="262" formatCode="#,##0_);[Red]\(#,##0\)">
                  <c:v>647629.5648533828</c:v>
                </c:pt>
                <c:pt idx="263" formatCode="#,##0_);[Red]\(#,##0\)">
                  <c:v>645371.9106523266</c:v>
                </c:pt>
                <c:pt idx="264" formatCode="#,##0_);[Red]\(#,##0\)">
                  <c:v>644382.1293519266</c:v>
                </c:pt>
                <c:pt idx="265" formatCode="#,##0_);[Red]\(#,##0\)">
                  <c:v>643969.7536421474</c:v>
                </c:pt>
                <c:pt idx="266" formatCode="#,##0_);[Red]\(#,##0\)">
                  <c:v>647384.5093414824</c:v>
                </c:pt>
                <c:pt idx="267" formatCode="#,##0_);[Red]\(#,##0\)">
                  <c:v>647303.693043408</c:v>
                </c:pt>
                <c:pt idx="268" formatCode="#,##0_);[Red]\(#,##0\)">
                  <c:v>638354.3472912528</c:v>
                </c:pt>
                <c:pt idx="269" formatCode="#,##0_);[Red]\(#,##0\)">
                  <c:v>660616.3770104467</c:v>
                </c:pt>
                <c:pt idx="270" formatCode="#,##0_);[Red]\(#,##0\)">
                  <c:v>670873.4838795873</c:v>
                </c:pt>
                <c:pt idx="271" formatCode="#,##0_);[Red]\(#,##0\)">
                  <c:v>699350.600639562</c:v>
                </c:pt>
                <c:pt idx="272" formatCode="#,##0_);[Red]\(#,##0\)">
                  <c:v>694051.398056548</c:v>
                </c:pt>
                <c:pt idx="273" formatCode="#,##0_);[Red]\(#,##0\)">
                  <c:v>705096.3978375757</c:v>
                </c:pt>
                <c:pt idx="274" formatCode="#,##0_);[Red]\(#,##0\)">
                  <c:v>709044.7993199902</c:v>
                </c:pt>
                <c:pt idx="275" formatCode="#,##0_);[Red]\(#,##0\)">
                  <c:v>708688.9797942091</c:v>
                </c:pt>
                <c:pt idx="276" formatCode="#,##0_);[Red]\(#,##0\)">
                  <c:v>708870.018235163</c:v>
                </c:pt>
                <c:pt idx="277" formatCode="#,##0_);[Red]\(#,##0\)">
                  <c:v>709200.056124003</c:v>
                </c:pt>
                <c:pt idx="278" formatCode="#,##0_);[Red]\(#,##0\)">
                  <c:v>708999.6314687498</c:v>
                </c:pt>
                <c:pt idx="279" formatCode="#,##0_);[Red]\(#,##0\)">
                  <c:v>708631.4873519227</c:v>
                </c:pt>
                <c:pt idx="280" formatCode="#,##0_);[Red]\(#,##0\)">
                  <c:v>709812.9467714291</c:v>
                </c:pt>
                <c:pt idx="281" formatCode="#,##0_);[Red]\(#,##0\)">
                  <c:v>713906.0354933576</c:v>
                </c:pt>
                <c:pt idx="282" formatCode="#,##0_);[Red]\(#,##0\)">
                  <c:v>729310.576861171</c:v>
                </c:pt>
                <c:pt idx="283" formatCode="#,##0_);[Red]\(#,##0\)">
                  <c:v>739172.824010666</c:v>
                </c:pt>
                <c:pt idx="284" formatCode="#,##0_);[Red]\(#,##0\)">
                  <c:v>739289.5249686179</c:v>
                </c:pt>
                <c:pt idx="285" formatCode="#,##0_);[Red]\(#,##0\)">
                  <c:v>757431.128851512</c:v>
                </c:pt>
                <c:pt idx="286" formatCode="#,##0_);[Red]\(#,##0\)">
                  <c:v>759579.6895574478</c:v>
                </c:pt>
                <c:pt idx="287" formatCode="#,##0_);[Red]\(#,##0\)">
                  <c:v>759813.4589121828</c:v>
                </c:pt>
                <c:pt idx="288" formatCode="#,##0_);[Red]\(#,##0\)">
                  <c:v>758208.6274788084</c:v>
                </c:pt>
                <c:pt idx="289" formatCode="#,##0_);[Red]\(#,##0\)">
                  <c:v>783361.6900540401</c:v>
                </c:pt>
                <c:pt idx="290" formatCode="#,##0_);[Red]\(#,##0\)">
                  <c:v>784628.102580187</c:v>
                </c:pt>
                <c:pt idx="291" formatCode="#,##0_);[Red]\(#,##0\)">
                  <c:v>784356.9856103924</c:v>
                </c:pt>
                <c:pt idx="292" formatCode="#,##0_);[Red]\(#,##0\)">
                  <c:v>791527.2958096558</c:v>
                </c:pt>
                <c:pt idx="293" formatCode="#,##0_);[Red]\(#,##0\)">
                  <c:v>794017.323712815</c:v>
                </c:pt>
                <c:pt idx="294" formatCode="#,##0_);[Red]\(#,##0\)">
                  <c:v>802985.725337623</c:v>
                </c:pt>
                <c:pt idx="295" formatCode="#,##0_);[Red]\(#,##0\)">
                  <c:v>775604.4342838697</c:v>
                </c:pt>
                <c:pt idx="296" formatCode="#,##0_);[Red]\(#,##0\)">
                  <c:v>772675.8070127712</c:v>
                </c:pt>
                <c:pt idx="297" formatCode="#,##0_);[Red]\(#,##0\)">
                  <c:v>780694.0621413216</c:v>
                </c:pt>
                <c:pt idx="298" formatCode="#,##0_);[Red]\(#,##0\)">
                  <c:v>782170.9353899055</c:v>
                </c:pt>
                <c:pt idx="299" formatCode="#,##0_);[Red]\(#,##0\)">
                  <c:v>781204.4349260294</c:v>
                </c:pt>
                <c:pt idx="300" formatCode="#,##0_);[Red]\(#,##0\)">
                  <c:v>781418.5701687617</c:v>
                </c:pt>
                <c:pt idx="301" formatCode="#,##0_);[Red]\(#,##0\)">
                  <c:v>783590.858353418</c:v>
                </c:pt>
                <c:pt idx="302" formatCode="#,##0_);[Red]\(#,##0\)">
                  <c:v>784245.865204457</c:v>
                </c:pt>
                <c:pt idx="303" formatCode="#,##0_);[Red]\(#,##0\)">
                  <c:v>783105.3746708122</c:v>
                </c:pt>
                <c:pt idx="304" formatCode="#,##0_);[Red]\(#,##0\)">
                  <c:v>781556.5904170027</c:v>
                </c:pt>
                <c:pt idx="305" formatCode="#,##0_);[Red]\(#,##0\)">
                  <c:v>764768.462249357</c:v>
                </c:pt>
                <c:pt idx="306" formatCode="#,##0_);[Red]\(#,##0\)">
                  <c:v>741577.6600140712</c:v>
                </c:pt>
                <c:pt idx="307" formatCode="#,##0_);[Red]\(#,##0\)">
                  <c:v>709726.5924083565</c:v>
                </c:pt>
                <c:pt idx="308" formatCode="#,##0_);[Red]\(#,##0\)">
                  <c:v>688370.9120818491</c:v>
                </c:pt>
                <c:pt idx="309" formatCode="#,##0_);[Red]\(#,##0\)">
                  <c:v>675081.6955896816</c:v>
                </c:pt>
                <c:pt idx="310" formatCode="#,##0_);[Red]\(#,##0\)">
                  <c:v>674652.6438885182</c:v>
                </c:pt>
                <c:pt idx="311" formatCode="#,##0_);[Red]\(#,##0\)">
                  <c:v>651077.7807923909</c:v>
                </c:pt>
                <c:pt idx="312" formatCode="#,##0_);[Red]\(#,##0\)">
                  <c:v>651045.1853043425</c:v>
                </c:pt>
                <c:pt idx="313" formatCode="#,##0_);[Red]\(#,##0\)">
                  <c:v>650985.445955768</c:v>
                </c:pt>
              </c:numCache>
            </c:numRef>
          </c:val>
          <c:smooth val="0"/>
        </c:ser>
        <c:ser>
          <c:idx val="2"/>
          <c:order val="2"/>
          <c:spPr>
            <a:ln w="12700">
              <a:solidFill>
                <a:srgbClr val="DD0806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'Month S&amp;P'!$A$3:$A$320</c:f>
              <c:strCache>
                <c:ptCount val="312"/>
                <c:pt idx="0">
                  <c:v>Jan-88</c:v>
                </c:pt>
                <c:pt idx="1">
                  <c:v>Feb-88</c:v>
                </c:pt>
                <c:pt idx="2">
                  <c:v>Mar-88</c:v>
                </c:pt>
                <c:pt idx="3">
                  <c:v>Apr-88</c:v>
                </c:pt>
                <c:pt idx="4">
                  <c:v>May-88</c:v>
                </c:pt>
                <c:pt idx="5">
                  <c:v>Jun-88</c:v>
                </c:pt>
                <c:pt idx="6">
                  <c:v>Jul-88</c:v>
                </c:pt>
                <c:pt idx="7">
                  <c:v>Aug-88</c:v>
                </c:pt>
                <c:pt idx="8">
                  <c:v>Sep-88</c:v>
                </c:pt>
                <c:pt idx="9">
                  <c:v>Oct-88</c:v>
                </c:pt>
                <c:pt idx="10">
                  <c:v>Nov-88</c:v>
                </c:pt>
                <c:pt idx="11">
                  <c:v>Dec-88</c:v>
                </c:pt>
                <c:pt idx="12">
                  <c:v>Jan-89</c:v>
                </c:pt>
                <c:pt idx="13">
                  <c:v>Feb-89</c:v>
                </c:pt>
                <c:pt idx="14">
                  <c:v>Mar-89</c:v>
                </c:pt>
                <c:pt idx="15">
                  <c:v>Apr-89</c:v>
                </c:pt>
                <c:pt idx="16">
                  <c:v>May-89</c:v>
                </c:pt>
                <c:pt idx="17">
                  <c:v>Jun-89</c:v>
                </c:pt>
                <c:pt idx="18">
                  <c:v>Jul-89</c:v>
                </c:pt>
                <c:pt idx="19">
                  <c:v>Aug-89</c:v>
                </c:pt>
                <c:pt idx="20">
                  <c:v>Sep-89</c:v>
                </c:pt>
                <c:pt idx="21">
                  <c:v>Oct-89</c:v>
                </c:pt>
                <c:pt idx="22">
                  <c:v>Nov-89</c:v>
                </c:pt>
                <c:pt idx="23">
                  <c:v>Dec-89</c:v>
                </c:pt>
                <c:pt idx="24">
                  <c:v>Jan-90</c:v>
                </c:pt>
                <c:pt idx="25">
                  <c:v>Feb-90</c:v>
                </c:pt>
                <c:pt idx="26">
                  <c:v>Mar-90</c:v>
                </c:pt>
                <c:pt idx="27">
                  <c:v>Apr-90</c:v>
                </c:pt>
                <c:pt idx="28">
                  <c:v>May-90</c:v>
                </c:pt>
                <c:pt idx="29">
                  <c:v>Jun-90</c:v>
                </c:pt>
                <c:pt idx="30">
                  <c:v>Jul-90</c:v>
                </c:pt>
                <c:pt idx="31">
                  <c:v>Aug-90</c:v>
                </c:pt>
                <c:pt idx="32">
                  <c:v>Sep-90</c:v>
                </c:pt>
                <c:pt idx="33">
                  <c:v>Oct-90</c:v>
                </c:pt>
                <c:pt idx="34">
                  <c:v>Nov-90</c:v>
                </c:pt>
                <c:pt idx="35">
                  <c:v>Dec-90</c:v>
                </c:pt>
                <c:pt idx="36">
                  <c:v>Jan-91</c:v>
                </c:pt>
                <c:pt idx="37">
                  <c:v>Feb-91</c:v>
                </c:pt>
                <c:pt idx="38">
                  <c:v>Mar-91</c:v>
                </c:pt>
                <c:pt idx="39">
                  <c:v>Apr-91</c:v>
                </c:pt>
                <c:pt idx="40">
                  <c:v>May-91</c:v>
                </c:pt>
                <c:pt idx="41">
                  <c:v>Jun-91</c:v>
                </c:pt>
                <c:pt idx="42">
                  <c:v>Jul-91</c:v>
                </c:pt>
                <c:pt idx="43">
                  <c:v>Aug-91</c:v>
                </c:pt>
                <c:pt idx="44">
                  <c:v>Sep-91</c:v>
                </c:pt>
                <c:pt idx="45">
                  <c:v>Oct-91</c:v>
                </c:pt>
                <c:pt idx="46">
                  <c:v>Nov-91</c:v>
                </c:pt>
                <c:pt idx="47">
                  <c:v>Dec-91</c:v>
                </c:pt>
                <c:pt idx="48">
                  <c:v>Jan-92</c:v>
                </c:pt>
                <c:pt idx="49">
                  <c:v>Feb-92</c:v>
                </c:pt>
                <c:pt idx="50">
                  <c:v>Mar-92</c:v>
                </c:pt>
                <c:pt idx="51">
                  <c:v>Apr-92</c:v>
                </c:pt>
                <c:pt idx="52">
                  <c:v>May-92</c:v>
                </c:pt>
                <c:pt idx="53">
                  <c:v>Jun-92</c:v>
                </c:pt>
                <c:pt idx="54">
                  <c:v>Jul-92</c:v>
                </c:pt>
                <c:pt idx="55">
                  <c:v>Aug-92</c:v>
                </c:pt>
                <c:pt idx="56">
                  <c:v>Sep-92</c:v>
                </c:pt>
                <c:pt idx="57">
                  <c:v>Oct-92</c:v>
                </c:pt>
                <c:pt idx="58">
                  <c:v>Nov-92</c:v>
                </c:pt>
                <c:pt idx="59">
                  <c:v>Dec-92</c:v>
                </c:pt>
                <c:pt idx="60">
                  <c:v>Jan-93</c:v>
                </c:pt>
                <c:pt idx="61">
                  <c:v>Feb-93</c:v>
                </c:pt>
                <c:pt idx="62">
                  <c:v>Mar-93</c:v>
                </c:pt>
                <c:pt idx="63">
                  <c:v>Apr-93</c:v>
                </c:pt>
                <c:pt idx="64">
                  <c:v>May-93</c:v>
                </c:pt>
                <c:pt idx="65">
                  <c:v>Jun-93</c:v>
                </c:pt>
                <c:pt idx="66">
                  <c:v>Jul-93</c:v>
                </c:pt>
                <c:pt idx="67">
                  <c:v>Aug-93</c:v>
                </c:pt>
                <c:pt idx="68">
                  <c:v>Sep-93</c:v>
                </c:pt>
                <c:pt idx="69">
                  <c:v>Oct-93</c:v>
                </c:pt>
                <c:pt idx="70">
                  <c:v>Nov-93</c:v>
                </c:pt>
                <c:pt idx="71">
                  <c:v>Dec-93</c:v>
                </c:pt>
                <c:pt idx="72">
                  <c:v>Jan-94</c:v>
                </c:pt>
                <c:pt idx="73">
                  <c:v>Feb-94</c:v>
                </c:pt>
                <c:pt idx="74">
                  <c:v>Mar-94</c:v>
                </c:pt>
                <c:pt idx="75">
                  <c:v>Apr-94</c:v>
                </c:pt>
                <c:pt idx="76">
                  <c:v>May-94</c:v>
                </c:pt>
                <c:pt idx="77">
                  <c:v>Jun-94</c:v>
                </c:pt>
                <c:pt idx="78">
                  <c:v>Jul-94</c:v>
                </c:pt>
                <c:pt idx="79">
                  <c:v>Aug-94</c:v>
                </c:pt>
                <c:pt idx="80">
                  <c:v>Sep-94</c:v>
                </c:pt>
                <c:pt idx="81">
                  <c:v>Oct-94</c:v>
                </c:pt>
                <c:pt idx="82">
                  <c:v>Nov-94</c:v>
                </c:pt>
                <c:pt idx="83">
                  <c:v>Dec-94</c:v>
                </c:pt>
                <c:pt idx="84">
                  <c:v>Jan-95</c:v>
                </c:pt>
                <c:pt idx="85">
                  <c:v>Feb-95</c:v>
                </c:pt>
                <c:pt idx="86">
                  <c:v>Mar-95</c:v>
                </c:pt>
                <c:pt idx="87">
                  <c:v>Apr-95</c:v>
                </c:pt>
                <c:pt idx="88">
                  <c:v>May-95</c:v>
                </c:pt>
                <c:pt idx="89">
                  <c:v>Jun-95</c:v>
                </c:pt>
                <c:pt idx="90">
                  <c:v>Jul-95</c:v>
                </c:pt>
                <c:pt idx="91">
                  <c:v>Aug-95</c:v>
                </c:pt>
                <c:pt idx="92">
                  <c:v>Sep-95</c:v>
                </c:pt>
                <c:pt idx="93">
                  <c:v>Oct-95</c:v>
                </c:pt>
                <c:pt idx="94">
                  <c:v>Nov-95</c:v>
                </c:pt>
                <c:pt idx="95">
                  <c:v>Dec-95</c:v>
                </c:pt>
                <c:pt idx="96">
                  <c:v>Jan-96</c:v>
                </c:pt>
                <c:pt idx="97">
                  <c:v>Feb-96</c:v>
                </c:pt>
                <c:pt idx="98">
                  <c:v>Mar-96</c:v>
                </c:pt>
                <c:pt idx="99">
                  <c:v>Apr-96</c:v>
                </c:pt>
                <c:pt idx="100">
                  <c:v> </c:v>
                </c:pt>
                <c:pt idx="101">
                  <c:v>Jun-96</c:v>
                </c:pt>
                <c:pt idx="102">
                  <c:v>Jul-96</c:v>
                </c:pt>
                <c:pt idx="103">
                  <c:v>Aug-96</c:v>
                </c:pt>
                <c:pt idx="104">
                  <c:v>Sep-96</c:v>
                </c:pt>
                <c:pt idx="105">
                  <c:v>Oct-96</c:v>
                </c:pt>
                <c:pt idx="106">
                  <c:v>Nov-96</c:v>
                </c:pt>
                <c:pt idx="107">
                  <c:v>Dec-96</c:v>
                </c:pt>
                <c:pt idx="108">
                  <c:v>Jan-97</c:v>
                </c:pt>
                <c:pt idx="109">
                  <c:v>Feb-97</c:v>
                </c:pt>
                <c:pt idx="110">
                  <c:v>Mar-97</c:v>
                </c:pt>
                <c:pt idx="111">
                  <c:v>Apr-97</c:v>
                </c:pt>
                <c:pt idx="112">
                  <c:v>May-97</c:v>
                </c:pt>
                <c:pt idx="113">
                  <c:v>Jun-97</c:v>
                </c:pt>
                <c:pt idx="114">
                  <c:v>Jul-97</c:v>
                </c:pt>
                <c:pt idx="115">
                  <c:v>Aug-97</c:v>
                </c:pt>
                <c:pt idx="116">
                  <c:v>Sep-97</c:v>
                </c:pt>
                <c:pt idx="117">
                  <c:v>Oct-97</c:v>
                </c:pt>
                <c:pt idx="118">
                  <c:v>Nov-97</c:v>
                </c:pt>
                <c:pt idx="119">
                  <c:v>Dec-97</c:v>
                </c:pt>
                <c:pt idx="120">
                  <c:v>Jan-98</c:v>
                </c:pt>
                <c:pt idx="121">
                  <c:v>Feb-98</c:v>
                </c:pt>
                <c:pt idx="122">
                  <c:v>Mar-98</c:v>
                </c:pt>
                <c:pt idx="123">
                  <c:v>Apr-98</c:v>
                </c:pt>
                <c:pt idx="124">
                  <c:v>May-98</c:v>
                </c:pt>
                <c:pt idx="125">
                  <c:v>Jun-98</c:v>
                </c:pt>
                <c:pt idx="126">
                  <c:v>Jul-98</c:v>
                </c:pt>
                <c:pt idx="127">
                  <c:v>Aug-98</c:v>
                </c:pt>
                <c:pt idx="128">
                  <c:v>Sep-98</c:v>
                </c:pt>
                <c:pt idx="129">
                  <c:v>Oct-98</c:v>
                </c:pt>
                <c:pt idx="130">
                  <c:v>Nov-98</c:v>
                </c:pt>
                <c:pt idx="131">
                  <c:v>Dec-98</c:v>
                </c:pt>
                <c:pt idx="132">
                  <c:v>Jan-99</c:v>
                </c:pt>
                <c:pt idx="133">
                  <c:v>Feb-99</c:v>
                </c:pt>
                <c:pt idx="134">
                  <c:v>Mar-99</c:v>
                </c:pt>
                <c:pt idx="135">
                  <c:v>Apr-99</c:v>
                </c:pt>
                <c:pt idx="136">
                  <c:v>May-99</c:v>
                </c:pt>
                <c:pt idx="137">
                  <c:v>Jun-99</c:v>
                </c:pt>
                <c:pt idx="138">
                  <c:v>Jul-99</c:v>
                </c:pt>
                <c:pt idx="139">
                  <c:v>Aug-99</c:v>
                </c:pt>
                <c:pt idx="140">
                  <c:v>Sep-99</c:v>
                </c:pt>
                <c:pt idx="141">
                  <c:v>Oct-99</c:v>
                </c:pt>
                <c:pt idx="142">
                  <c:v>Nov-99</c:v>
                </c:pt>
                <c:pt idx="143">
                  <c:v>Dec-99</c:v>
                </c:pt>
                <c:pt idx="144">
                  <c:v>Jan-00</c:v>
                </c:pt>
                <c:pt idx="145">
                  <c:v>Feb-00</c:v>
                </c:pt>
                <c:pt idx="146">
                  <c:v>Mar-00</c:v>
                </c:pt>
                <c:pt idx="147">
                  <c:v>Apr-00</c:v>
                </c:pt>
                <c:pt idx="148">
                  <c:v>May-00</c:v>
                </c:pt>
                <c:pt idx="149">
                  <c:v>Jun-00</c:v>
                </c:pt>
                <c:pt idx="150">
                  <c:v>Jul-00</c:v>
                </c:pt>
                <c:pt idx="151">
                  <c:v>Aug-00</c:v>
                </c:pt>
                <c:pt idx="152">
                  <c:v>Sep-00</c:v>
                </c:pt>
                <c:pt idx="153">
                  <c:v>Oct-00</c:v>
                </c:pt>
                <c:pt idx="154">
                  <c:v>Nov-00</c:v>
                </c:pt>
                <c:pt idx="155">
                  <c:v>Dec-00</c:v>
                </c:pt>
                <c:pt idx="156">
                  <c:v>Jan-01</c:v>
                </c:pt>
                <c:pt idx="157">
                  <c:v>Feb-01</c:v>
                </c:pt>
                <c:pt idx="158">
                  <c:v>Mar-01</c:v>
                </c:pt>
                <c:pt idx="159">
                  <c:v>Apr-01</c:v>
                </c:pt>
                <c:pt idx="160">
                  <c:v>May-01</c:v>
                </c:pt>
                <c:pt idx="161">
                  <c:v>Jun-01</c:v>
                </c:pt>
                <c:pt idx="162">
                  <c:v>Jul-01</c:v>
                </c:pt>
                <c:pt idx="163">
                  <c:v>Aug-01</c:v>
                </c:pt>
                <c:pt idx="164">
                  <c:v>Sep-01</c:v>
                </c:pt>
                <c:pt idx="165">
                  <c:v>Oct-01</c:v>
                </c:pt>
                <c:pt idx="166">
                  <c:v>Nov-01</c:v>
                </c:pt>
                <c:pt idx="167">
                  <c:v>Dec-01</c:v>
                </c:pt>
                <c:pt idx="168">
                  <c:v>Jan-02</c:v>
                </c:pt>
                <c:pt idx="169">
                  <c:v>Feb-02</c:v>
                </c:pt>
                <c:pt idx="170">
                  <c:v>Mar-02</c:v>
                </c:pt>
                <c:pt idx="171">
                  <c:v>Apr-02</c:v>
                </c:pt>
                <c:pt idx="172">
                  <c:v>May-02</c:v>
                </c:pt>
                <c:pt idx="173">
                  <c:v>Jun-02</c:v>
                </c:pt>
                <c:pt idx="174">
                  <c:v>Jul-02</c:v>
                </c:pt>
                <c:pt idx="175">
                  <c:v>Aug-02</c:v>
                </c:pt>
                <c:pt idx="176">
                  <c:v>Sep-02</c:v>
                </c:pt>
                <c:pt idx="177">
                  <c:v>Oct-02</c:v>
                </c:pt>
                <c:pt idx="178">
                  <c:v>Nov-02</c:v>
                </c:pt>
                <c:pt idx="179">
                  <c:v>Dec-02</c:v>
                </c:pt>
                <c:pt idx="180">
                  <c:v>Jan-03</c:v>
                </c:pt>
                <c:pt idx="181">
                  <c:v>Feb-03</c:v>
                </c:pt>
                <c:pt idx="182">
                  <c:v>Mar-03</c:v>
                </c:pt>
                <c:pt idx="183">
                  <c:v>Apr-03</c:v>
                </c:pt>
                <c:pt idx="184">
                  <c:v>May-03</c:v>
                </c:pt>
                <c:pt idx="185">
                  <c:v>Jun-03</c:v>
                </c:pt>
                <c:pt idx="186">
                  <c:v>Jul-03</c:v>
                </c:pt>
                <c:pt idx="187">
                  <c:v>Aug-03</c:v>
                </c:pt>
                <c:pt idx="188">
                  <c:v>Sep-03</c:v>
                </c:pt>
                <c:pt idx="189">
                  <c:v>Oct-03</c:v>
                </c:pt>
                <c:pt idx="190">
                  <c:v>Nov-03</c:v>
                </c:pt>
                <c:pt idx="191">
                  <c:v>Dec-03</c:v>
                </c:pt>
                <c:pt idx="192">
                  <c:v>Jan-04</c:v>
                </c:pt>
                <c:pt idx="193">
                  <c:v>Feb-04</c:v>
                </c:pt>
                <c:pt idx="194">
                  <c:v>Mar-04</c:v>
                </c:pt>
                <c:pt idx="195">
                  <c:v>Apr-04</c:v>
                </c:pt>
                <c:pt idx="196">
                  <c:v>May-04</c:v>
                </c:pt>
                <c:pt idx="197">
                  <c:v>Jun-04</c:v>
                </c:pt>
                <c:pt idx="198">
                  <c:v>Jul-04</c:v>
                </c:pt>
                <c:pt idx="199">
                  <c:v>Aug-04</c:v>
                </c:pt>
                <c:pt idx="200">
                  <c:v>Sep-04</c:v>
                </c:pt>
                <c:pt idx="201">
                  <c:v>Oct-04</c:v>
                </c:pt>
                <c:pt idx="202">
                  <c:v>Nov-04</c:v>
                </c:pt>
                <c:pt idx="203">
                  <c:v>Dec-04</c:v>
                </c:pt>
                <c:pt idx="204">
                  <c:v>Jan-05</c:v>
                </c:pt>
                <c:pt idx="205">
                  <c:v>Feb-05</c:v>
                </c:pt>
                <c:pt idx="206">
                  <c:v>Mar-05</c:v>
                </c:pt>
                <c:pt idx="207">
                  <c:v>Apr-05</c:v>
                </c:pt>
                <c:pt idx="208">
                  <c:v>May-05</c:v>
                </c:pt>
                <c:pt idx="209">
                  <c:v>Jun-05</c:v>
                </c:pt>
                <c:pt idx="210">
                  <c:v>Jul-05</c:v>
                </c:pt>
                <c:pt idx="211">
                  <c:v>Aug-05</c:v>
                </c:pt>
                <c:pt idx="212">
                  <c:v>Sep-05</c:v>
                </c:pt>
                <c:pt idx="213">
                  <c:v>Oct-05</c:v>
                </c:pt>
                <c:pt idx="214">
                  <c:v>Nov-05</c:v>
                </c:pt>
                <c:pt idx="215">
                  <c:v>Dec-05</c:v>
                </c:pt>
                <c:pt idx="216">
                  <c:v>Jan-06</c:v>
                </c:pt>
                <c:pt idx="217">
                  <c:v>Feb-06</c:v>
                </c:pt>
                <c:pt idx="218">
                  <c:v>Mar-06</c:v>
                </c:pt>
                <c:pt idx="219">
                  <c:v>Apr-06</c:v>
                </c:pt>
                <c:pt idx="220">
                  <c:v>May-06</c:v>
                </c:pt>
                <c:pt idx="221">
                  <c:v>Jun-06</c:v>
                </c:pt>
                <c:pt idx="222">
                  <c:v>Jul-06</c:v>
                </c:pt>
                <c:pt idx="223">
                  <c:v>Aug-06</c:v>
                </c:pt>
                <c:pt idx="224">
                  <c:v>Sep-06</c:v>
                </c:pt>
                <c:pt idx="225">
                  <c:v>Oct-06</c:v>
                </c:pt>
                <c:pt idx="226">
                  <c:v>Nov-06</c:v>
                </c:pt>
                <c:pt idx="227">
                  <c:v>Dec-06</c:v>
                </c:pt>
                <c:pt idx="228">
                  <c:v>Jan-07</c:v>
                </c:pt>
                <c:pt idx="229">
                  <c:v>Feb-07</c:v>
                </c:pt>
                <c:pt idx="230">
                  <c:v>Mar-07</c:v>
                </c:pt>
                <c:pt idx="231">
                  <c:v>Apr-07</c:v>
                </c:pt>
                <c:pt idx="232">
                  <c:v>May-07</c:v>
                </c:pt>
                <c:pt idx="233">
                  <c:v>Jun-07</c:v>
                </c:pt>
                <c:pt idx="234">
                  <c:v>Jul-07</c:v>
                </c:pt>
                <c:pt idx="235">
                  <c:v>Aug-07</c:v>
                </c:pt>
                <c:pt idx="236">
                  <c:v>Sep-07</c:v>
                </c:pt>
                <c:pt idx="237">
                  <c:v>Oct-07</c:v>
                </c:pt>
                <c:pt idx="238">
                  <c:v>Nov-07</c:v>
                </c:pt>
                <c:pt idx="239">
                  <c:v>Dec-07</c:v>
                </c:pt>
                <c:pt idx="240">
                  <c:v>Jan-08</c:v>
                </c:pt>
                <c:pt idx="241">
                  <c:v>Feb-08</c:v>
                </c:pt>
                <c:pt idx="242">
                  <c:v>Mar-08</c:v>
                </c:pt>
                <c:pt idx="243">
                  <c:v>Apr-08</c:v>
                </c:pt>
                <c:pt idx="244">
                  <c:v>May-08</c:v>
                </c:pt>
                <c:pt idx="245">
                  <c:v>Jun-08</c:v>
                </c:pt>
                <c:pt idx="246">
                  <c:v>Jul-08</c:v>
                </c:pt>
                <c:pt idx="247">
                  <c:v>Aug-08</c:v>
                </c:pt>
                <c:pt idx="248">
                  <c:v>Sep-08</c:v>
                </c:pt>
                <c:pt idx="249">
                  <c:v>Oct-08</c:v>
                </c:pt>
                <c:pt idx="250">
                  <c:v>Nov-08</c:v>
                </c:pt>
                <c:pt idx="251">
                  <c:v>Dec-08</c:v>
                </c:pt>
                <c:pt idx="252">
                  <c:v>Jan-09</c:v>
                </c:pt>
                <c:pt idx="253">
                  <c:v>Feb-09</c:v>
                </c:pt>
                <c:pt idx="254">
                  <c:v>Mar-09</c:v>
                </c:pt>
                <c:pt idx="255">
                  <c:v>Apr-09</c:v>
                </c:pt>
                <c:pt idx="256">
                  <c:v>May-09</c:v>
                </c:pt>
                <c:pt idx="257">
                  <c:v>Jun-09</c:v>
                </c:pt>
                <c:pt idx="258">
                  <c:v>Jul-09</c:v>
                </c:pt>
                <c:pt idx="259">
                  <c:v>Aug-09</c:v>
                </c:pt>
                <c:pt idx="260">
                  <c:v>Sep-09</c:v>
                </c:pt>
                <c:pt idx="261">
                  <c:v>Oct-09</c:v>
                </c:pt>
                <c:pt idx="262">
                  <c:v>Nov-09</c:v>
                </c:pt>
                <c:pt idx="263">
                  <c:v>Dec-09</c:v>
                </c:pt>
                <c:pt idx="264">
                  <c:v>Jan-10</c:v>
                </c:pt>
                <c:pt idx="265">
                  <c:v>Feb-10</c:v>
                </c:pt>
                <c:pt idx="266">
                  <c:v>Mar-10</c:v>
                </c:pt>
                <c:pt idx="267">
                  <c:v>Apr-10</c:v>
                </c:pt>
                <c:pt idx="268">
                  <c:v>May-10</c:v>
                </c:pt>
                <c:pt idx="269">
                  <c:v>Jun-10</c:v>
                </c:pt>
                <c:pt idx="270">
                  <c:v>Jul-10</c:v>
                </c:pt>
                <c:pt idx="271">
                  <c:v>Aug-10</c:v>
                </c:pt>
                <c:pt idx="272">
                  <c:v>Sep-10</c:v>
                </c:pt>
                <c:pt idx="273">
                  <c:v>Oct-10</c:v>
                </c:pt>
                <c:pt idx="274">
                  <c:v>Nov-10</c:v>
                </c:pt>
                <c:pt idx="275">
                  <c:v>Dec-10</c:v>
                </c:pt>
                <c:pt idx="276">
                  <c:v>Jan-11</c:v>
                </c:pt>
                <c:pt idx="277">
                  <c:v>Feb-11</c:v>
                </c:pt>
                <c:pt idx="278">
                  <c:v>Mar-11</c:v>
                </c:pt>
                <c:pt idx="279">
                  <c:v>Apr-11</c:v>
                </c:pt>
                <c:pt idx="280">
                  <c:v>May-11</c:v>
                </c:pt>
                <c:pt idx="281">
                  <c:v>Jun-11</c:v>
                </c:pt>
                <c:pt idx="282">
                  <c:v>Jul-11</c:v>
                </c:pt>
                <c:pt idx="283">
                  <c:v>Aug-11</c:v>
                </c:pt>
                <c:pt idx="284">
                  <c:v>Sep-11</c:v>
                </c:pt>
                <c:pt idx="285">
                  <c:v>Oct-11</c:v>
                </c:pt>
                <c:pt idx="286">
                  <c:v>Nov-11</c:v>
                </c:pt>
                <c:pt idx="287">
                  <c:v>Dec-11</c:v>
                </c:pt>
                <c:pt idx="288">
                  <c:v>Jan-12</c:v>
                </c:pt>
                <c:pt idx="289">
                  <c:v>Feb-12</c:v>
                </c:pt>
                <c:pt idx="290">
                  <c:v>Mar-12</c:v>
                </c:pt>
                <c:pt idx="291">
                  <c:v>Apr-12</c:v>
                </c:pt>
                <c:pt idx="292">
                  <c:v>May-12</c:v>
                </c:pt>
                <c:pt idx="293">
                  <c:v>Jun-12</c:v>
                </c:pt>
                <c:pt idx="294">
                  <c:v>Jul-12</c:v>
                </c:pt>
                <c:pt idx="295">
                  <c:v>Aug-12</c:v>
                </c:pt>
                <c:pt idx="296">
                  <c:v>Sep-12</c:v>
                </c:pt>
                <c:pt idx="297">
                  <c:v>Oct-12</c:v>
                </c:pt>
                <c:pt idx="298">
                  <c:v>Nov-12</c:v>
                </c:pt>
                <c:pt idx="299">
                  <c:v>Dec-12</c:v>
                </c:pt>
                <c:pt idx="300">
                  <c:v>Jan-13</c:v>
                </c:pt>
                <c:pt idx="301">
                  <c:v>Feb-13</c:v>
                </c:pt>
                <c:pt idx="302">
                  <c:v>Mar-13</c:v>
                </c:pt>
                <c:pt idx="303">
                  <c:v>Apr-13</c:v>
                </c:pt>
                <c:pt idx="304">
                  <c:v>May-13</c:v>
                </c:pt>
                <c:pt idx="305">
                  <c:v>Jun-13</c:v>
                </c:pt>
                <c:pt idx="306">
                  <c:v>Jul-13</c:v>
                </c:pt>
                <c:pt idx="307">
                  <c:v>Aug-13</c:v>
                </c:pt>
                <c:pt idx="308">
                  <c:v>Sep-13</c:v>
                </c:pt>
                <c:pt idx="309">
                  <c:v>Oct-13</c:v>
                </c:pt>
                <c:pt idx="310">
                  <c:v>Nov-13</c:v>
                </c:pt>
                <c:pt idx="311">
                  <c:v>Dec-13</c:v>
                </c:pt>
              </c:strCache>
            </c:strRef>
          </c:cat>
          <c:val>
            <c:numRef>
              <c:f>'Month S&amp;P'!$O$1:$O$320</c:f>
              <c:numCache>
                <c:formatCode>General</c:formatCode>
                <c:ptCount val="320"/>
                <c:pt idx="1">
                  <c:v>0.0</c:v>
                </c:pt>
                <c:pt idx="62" formatCode="#,##0_);[Red]\(#,##0\)">
                  <c:v>-239920.4943123519</c:v>
                </c:pt>
                <c:pt idx="63" formatCode="#,##0_);[Red]\(#,##0\)">
                  <c:v>-248473.8682613835</c:v>
                </c:pt>
                <c:pt idx="64" formatCode="#,##0_);[Red]\(#,##0\)">
                  <c:v>-247497.0614218347</c:v>
                </c:pt>
                <c:pt idx="65" formatCode="#,##0_);[Red]\(#,##0\)">
                  <c:v>-241232.6617273548</c:v>
                </c:pt>
                <c:pt idx="66" formatCode="#,##0_);[Red]\(#,##0\)">
                  <c:v>-240061.6015941009</c:v>
                </c:pt>
                <c:pt idx="67" formatCode="#,##0_);[Red]\(#,##0\)">
                  <c:v>-240363.892279962</c:v>
                </c:pt>
                <c:pt idx="68" formatCode="#,##0_);[Red]\(#,##0\)">
                  <c:v>-242307.2463128357</c:v>
                </c:pt>
                <c:pt idx="69" formatCode="#,##0_);[Red]\(#,##0\)">
                  <c:v>-243185.0280173318</c:v>
                </c:pt>
                <c:pt idx="70" formatCode="#,##0_);[Red]\(#,##0\)">
                  <c:v>-243055.156422426</c:v>
                </c:pt>
                <c:pt idx="71" formatCode="#,##0_);[Red]\(#,##0\)">
                  <c:v>-243219.9750588242</c:v>
                </c:pt>
                <c:pt idx="72" formatCode="#,##0_);[Red]\(#,##0\)">
                  <c:v>-242153.3278358237</c:v>
                </c:pt>
                <c:pt idx="73" formatCode="#,##0_);[Red]\(#,##0\)">
                  <c:v>-228489.4308317456</c:v>
                </c:pt>
                <c:pt idx="74" formatCode="#,##0_);[Red]\(#,##0\)">
                  <c:v>-246083.8857833554</c:v>
                </c:pt>
                <c:pt idx="75" formatCode="#,##0_);[Red]\(#,##0\)">
                  <c:v>-249465.3132507264</c:v>
                </c:pt>
                <c:pt idx="76" formatCode="#,##0_);[Red]\(#,##0\)">
                  <c:v>-246017.2525143643</c:v>
                </c:pt>
                <c:pt idx="77" formatCode="#,##0_);[Red]\(#,##0\)">
                  <c:v>-242769.0714124162</c:v>
                </c:pt>
                <c:pt idx="78" formatCode="#,##0_);[Red]\(#,##0\)">
                  <c:v>-252057.3166913949</c:v>
                </c:pt>
                <c:pt idx="79" formatCode="#,##0_);[Red]\(#,##0\)">
                  <c:v>-256879.3694975286</c:v>
                </c:pt>
                <c:pt idx="80" formatCode="#,##0_);[Red]\(#,##0\)">
                  <c:v>-262943.8849326964</c:v>
                </c:pt>
                <c:pt idx="81" formatCode="#,##0_);[Red]\(#,##0\)">
                  <c:v>-262963.5625280119</c:v>
                </c:pt>
                <c:pt idx="82" formatCode="#,##0_);[Red]\(#,##0\)">
                  <c:v>-263656.0155117375</c:v>
                </c:pt>
                <c:pt idx="83" formatCode="#,##0_);[Red]\(#,##0\)">
                  <c:v>-263663.491963676</c:v>
                </c:pt>
                <c:pt idx="84" formatCode="#,##0_);[Red]\(#,##0\)">
                  <c:v>-266556.0667447025</c:v>
                </c:pt>
                <c:pt idx="85" formatCode="#,##0_);[Red]\(#,##0\)">
                  <c:v>-267543.922672931</c:v>
                </c:pt>
                <c:pt idx="86" formatCode="#,##0_);[Red]\(#,##0\)">
                  <c:v>-285082.9915783652</c:v>
                </c:pt>
                <c:pt idx="87" formatCode="#,##0_);[Red]\(#,##0\)">
                  <c:v>-281855.0355004087</c:v>
                </c:pt>
                <c:pt idx="88" formatCode="#,##0_);[Red]\(#,##0\)">
                  <c:v>-282315.2071092458</c:v>
                </c:pt>
                <c:pt idx="89" formatCode="#,##0_);[Red]\(#,##0\)">
                  <c:v>-294210.4275026404</c:v>
                </c:pt>
                <c:pt idx="90" formatCode="#,##0_);[Red]\(#,##0\)">
                  <c:v>-299338.5314080587</c:v>
                </c:pt>
                <c:pt idx="91" formatCode="#,##0_);[Red]\(#,##0\)">
                  <c:v>-302867.8570998553</c:v>
                </c:pt>
                <c:pt idx="92" formatCode="#,##0_);[Red]\(#,##0\)">
                  <c:v>-306223.9530513657</c:v>
                </c:pt>
                <c:pt idx="93" formatCode="#,##0_);[Red]\(#,##0\)">
                  <c:v>-309551.3793307313</c:v>
                </c:pt>
                <c:pt idx="94" formatCode="#,##0_);[Red]\(#,##0\)">
                  <c:v>-308457.2791857401</c:v>
                </c:pt>
                <c:pt idx="95" formatCode="#,##0_);[Red]\(#,##0\)">
                  <c:v>-308097.6699067754</c:v>
                </c:pt>
                <c:pt idx="96" formatCode="#,##0_);[Red]\(#,##0\)">
                  <c:v>-305125.8962525428</c:v>
                </c:pt>
                <c:pt idx="97" formatCode="#,##0_);[Red]\(#,##0\)">
                  <c:v>-313664.8521382705</c:v>
                </c:pt>
                <c:pt idx="98" formatCode="#,##0_);[Red]\(#,##0\)">
                  <c:v>-306219.8809320694</c:v>
                </c:pt>
                <c:pt idx="99" formatCode="#,##0_);[Red]\(#,##0\)">
                  <c:v>-301392.4188660281</c:v>
                </c:pt>
                <c:pt idx="100" formatCode="#,##0_);[Red]\(#,##0\)">
                  <c:v>-310837.1476045749</c:v>
                </c:pt>
                <c:pt idx="101" formatCode="#,##0_);[Red]\(#,##0\)">
                  <c:v>-312283.6028763509</c:v>
                </c:pt>
                <c:pt idx="102" formatCode="#,##0_);[Red]\(#,##0\)">
                  <c:v>-312074.53843499</c:v>
                </c:pt>
                <c:pt idx="103" formatCode="#,##0_);[Red]\(#,##0\)">
                  <c:v>-314136.1773670086</c:v>
                </c:pt>
                <c:pt idx="104" formatCode="#,##0_);[Red]\(#,##0\)">
                  <c:v>-334589.5119905422</c:v>
                </c:pt>
                <c:pt idx="105" formatCode="#,##0_);[Red]\(#,##0\)">
                  <c:v>-334950.7959059903</c:v>
                </c:pt>
                <c:pt idx="106" formatCode="#,##0_);[Red]\(#,##0\)">
                  <c:v>-334940.2758665958</c:v>
                </c:pt>
                <c:pt idx="107" formatCode="#,##0_);[Red]\(#,##0\)">
                  <c:v>-346093.7115160872</c:v>
                </c:pt>
                <c:pt idx="108" formatCode="#,##0_);[Red]\(#,##0\)">
                  <c:v>-343200.1181076681</c:v>
                </c:pt>
                <c:pt idx="109" formatCode="#,##0_);[Red]\(#,##0\)">
                  <c:v>-342778.4100036818</c:v>
                </c:pt>
                <c:pt idx="110" formatCode="#,##0_);[Red]\(#,##0\)">
                  <c:v>-342612.7951958282</c:v>
                </c:pt>
                <c:pt idx="111" formatCode="#,##0_);[Red]\(#,##0\)">
                  <c:v>-340453.8072299199</c:v>
                </c:pt>
                <c:pt idx="112" formatCode="#,##0_);[Red]\(#,##0\)">
                  <c:v>-341199.5968237448</c:v>
                </c:pt>
                <c:pt idx="113" formatCode="#,##0_);[Red]\(#,##0\)">
                  <c:v>-349986.9489688272</c:v>
                </c:pt>
                <c:pt idx="114" formatCode="#,##0_);[Red]\(#,##0\)">
                  <c:v>-349595.8137527084</c:v>
                </c:pt>
                <c:pt idx="115" formatCode="#,##0_);[Red]\(#,##0\)">
                  <c:v>-355241.0037558033</c:v>
                </c:pt>
                <c:pt idx="116" formatCode="#,##0_);[Red]\(#,##0\)">
                  <c:v>-352918.5834091822</c:v>
                </c:pt>
                <c:pt idx="117" formatCode="#,##0_);[Red]\(#,##0\)">
                  <c:v>-353080.4486915654</c:v>
                </c:pt>
                <c:pt idx="118" formatCode="#,##0_);[Red]\(#,##0\)">
                  <c:v>-353016.9643877935</c:v>
                </c:pt>
                <c:pt idx="119" formatCode="#,##0_);[Red]\(#,##0\)">
                  <c:v>-353737.9338281788</c:v>
                </c:pt>
                <c:pt idx="120" formatCode="#,##0_);[Red]\(#,##0\)">
                  <c:v>-339482.1714158577</c:v>
                </c:pt>
                <c:pt idx="121" formatCode="#,##0_);[Red]\(#,##0\)">
                  <c:v>-311555.7851534366</c:v>
                </c:pt>
                <c:pt idx="122" formatCode="#,##0_);[Red]\(#,##0\)">
                  <c:v>-311348.2128745714</c:v>
                </c:pt>
                <c:pt idx="123" formatCode="#,##0_);[Red]\(#,##0\)">
                  <c:v>-314161.0318179495</c:v>
                </c:pt>
                <c:pt idx="124" formatCode="#,##0_);[Red]\(#,##0\)">
                  <c:v>-319604.248593902</c:v>
                </c:pt>
                <c:pt idx="125" formatCode="#,##0_);[Red]\(#,##0\)">
                  <c:v>-320970.9901617296</c:v>
                </c:pt>
                <c:pt idx="126" formatCode="#,##0_);[Red]\(#,##0\)">
                  <c:v>-331233.0848281177</c:v>
                </c:pt>
                <c:pt idx="127" formatCode="#,##0_);[Red]\(#,##0\)">
                  <c:v>-330553.4649776584</c:v>
                </c:pt>
                <c:pt idx="128" formatCode="#,##0_);[Red]\(#,##0\)">
                  <c:v>-330141.4317327879</c:v>
                </c:pt>
                <c:pt idx="129" formatCode="#,##0_);[Red]\(#,##0\)">
                  <c:v>-333352.1363380658</c:v>
                </c:pt>
                <c:pt idx="130" formatCode="#,##0_);[Red]\(#,##0\)">
                  <c:v>-357233.560182406</c:v>
                </c:pt>
                <c:pt idx="131" formatCode="#,##0_);[Red]\(#,##0\)">
                  <c:v>-357426.3617902208</c:v>
                </c:pt>
                <c:pt idx="132" formatCode="#,##0_);[Red]\(#,##0\)">
                  <c:v>-356505.3644484007</c:v>
                </c:pt>
                <c:pt idx="133" formatCode="#,##0_);[Red]\(#,##0\)">
                  <c:v>-356538.4087152227</c:v>
                </c:pt>
                <c:pt idx="134" formatCode="#,##0_);[Red]\(#,##0\)">
                  <c:v>-346812.165233308</c:v>
                </c:pt>
                <c:pt idx="135" formatCode="#,##0_);[Red]\(#,##0\)">
                  <c:v>-343389.9521755181</c:v>
                </c:pt>
                <c:pt idx="136" formatCode="#,##0_);[Red]\(#,##0\)">
                  <c:v>-346578.775712002</c:v>
                </c:pt>
                <c:pt idx="137" formatCode="#,##0_);[Red]\(#,##0\)">
                  <c:v>-345399.7734103</c:v>
                </c:pt>
                <c:pt idx="138" formatCode="#,##0_);[Red]\(#,##0\)">
                  <c:v>-339847.2766991635</c:v>
                </c:pt>
                <c:pt idx="139" formatCode="#,##0_);[Red]\(#,##0\)">
                  <c:v>-333354.7725765574</c:v>
                </c:pt>
                <c:pt idx="140" formatCode="#,##0_);[Red]\(#,##0\)">
                  <c:v>-330568.9800341835</c:v>
                </c:pt>
                <c:pt idx="141" formatCode="#,##0_);[Red]\(#,##0\)">
                  <c:v>-330190.2987347355</c:v>
                </c:pt>
                <c:pt idx="142" formatCode="#,##0_);[Red]\(#,##0\)">
                  <c:v>-328963.7230815258</c:v>
                </c:pt>
                <c:pt idx="143" formatCode="#,##0_);[Red]\(#,##0\)">
                  <c:v>-330688.5048936355</c:v>
                </c:pt>
                <c:pt idx="144" formatCode="#,##0_);[Red]\(#,##0\)">
                  <c:v>-325858.7201043355</c:v>
                </c:pt>
                <c:pt idx="145" formatCode="#,##0_);[Red]\(#,##0\)">
                  <c:v>-325898.8360144451</c:v>
                </c:pt>
                <c:pt idx="146" formatCode="#,##0_);[Red]\(#,##0\)">
                  <c:v>-312229.2710782926</c:v>
                </c:pt>
                <c:pt idx="147" formatCode="#,##0_);[Red]\(#,##0\)">
                  <c:v>-310332.5082281452</c:v>
                </c:pt>
                <c:pt idx="148" formatCode="#,##0_);[Red]\(#,##0\)">
                  <c:v>-313293.4937315292</c:v>
                </c:pt>
                <c:pt idx="149" formatCode="#,##0_);[Red]\(#,##0\)">
                  <c:v>-303958.3158532908</c:v>
                </c:pt>
                <c:pt idx="150" formatCode="#,##0_);[Red]\(#,##0\)">
                  <c:v>-312827.083129744</c:v>
                </c:pt>
                <c:pt idx="151" formatCode="#,##0_);[Red]\(#,##0\)">
                  <c:v>-311753.0170056796</c:v>
                </c:pt>
                <c:pt idx="152" formatCode="#,##0_);[Red]\(#,##0\)">
                  <c:v>-308518.9547484388</c:v>
                </c:pt>
                <c:pt idx="153" formatCode="#,##0_);[Red]\(#,##0\)">
                  <c:v>-305333.3734655154</c:v>
                </c:pt>
                <c:pt idx="154" formatCode="#,##0_);[Red]\(#,##0\)">
                  <c:v>-306908.6826480194</c:v>
                </c:pt>
                <c:pt idx="155" formatCode="#,##0_);[Red]\(#,##0\)">
                  <c:v>-305462.6053469563</c:v>
                </c:pt>
                <c:pt idx="156" formatCode="#,##0_);[Red]\(#,##0\)">
                  <c:v>-306246.805073282</c:v>
                </c:pt>
                <c:pt idx="157" formatCode="#,##0_);[Red]\(#,##0\)">
                  <c:v>-295854.6817135184</c:v>
                </c:pt>
                <c:pt idx="158" formatCode="#,##0_);[Red]\(#,##0\)">
                  <c:v>-288128.9343330097</c:v>
                </c:pt>
                <c:pt idx="159" formatCode="#,##0_);[Red]\(#,##0\)">
                  <c:v>-290772.6233595631</c:v>
                </c:pt>
                <c:pt idx="160" formatCode="#,##0_);[Red]\(#,##0\)">
                  <c:v>-279133.0790327197</c:v>
                </c:pt>
                <c:pt idx="161" formatCode="#,##0_);[Red]\(#,##0\)">
                  <c:v>-285609.6247242147</c:v>
                </c:pt>
                <c:pt idx="162" formatCode="#,##0_);[Red]\(#,##0\)">
                  <c:v>-292458.2840854315</c:v>
                </c:pt>
                <c:pt idx="163" formatCode="#,##0_);[Red]\(#,##0\)">
                  <c:v>-296256.7356060743</c:v>
                </c:pt>
                <c:pt idx="164" formatCode="#,##0_);[Red]\(#,##0\)">
                  <c:v>-273255.3779187496</c:v>
                </c:pt>
                <c:pt idx="165" formatCode="#,##0_);[Red]\(#,##0\)">
                  <c:v>-272099.3962524191</c:v>
                </c:pt>
                <c:pt idx="166" formatCode="#,##0_);[Red]\(#,##0\)">
                  <c:v>-271827.3949581853</c:v>
                </c:pt>
                <c:pt idx="167" formatCode="#,##0_);[Red]\(#,##0\)">
                  <c:v>-269283.2946592413</c:v>
                </c:pt>
                <c:pt idx="168" formatCode="#,##0_);[Red]\(#,##0\)">
                  <c:v>-270690.3452373803</c:v>
                </c:pt>
                <c:pt idx="169" formatCode="#,##0_);[Red]\(#,##0\)">
                  <c:v>-282318.3526474002</c:v>
                </c:pt>
                <c:pt idx="170" formatCode="#,##0_);[Red]\(#,##0\)">
                  <c:v>-286830.2752147074</c:v>
                </c:pt>
                <c:pt idx="171" formatCode="#,##0_);[Red]\(#,##0\)">
                  <c:v>-286150.3769168073</c:v>
                </c:pt>
                <c:pt idx="172" formatCode="#,##0_);[Red]\(#,##0\)">
                  <c:v>-294464.4498172984</c:v>
                </c:pt>
                <c:pt idx="173" formatCode="#,##0_);[Red]\(#,##0\)">
                  <c:v>-282532.1987251042</c:v>
                </c:pt>
                <c:pt idx="174" formatCode="#,##0_);[Red]\(#,##0\)">
                  <c:v>-285242.6035751386</c:v>
                </c:pt>
                <c:pt idx="175" formatCode="#,##0_);[Red]\(#,##0\)">
                  <c:v>-275567.7073549916</c:v>
                </c:pt>
                <c:pt idx="176" formatCode="#,##0_);[Red]\(#,##0\)">
                  <c:v>-284419.207079486</c:v>
                </c:pt>
                <c:pt idx="177" formatCode="#,##0_);[Red]\(#,##0\)">
                  <c:v>-299307.9664364953</c:v>
                </c:pt>
                <c:pt idx="178" formatCode="#,##0_);[Red]\(#,##0\)">
                  <c:v>-300973.994548008</c:v>
                </c:pt>
                <c:pt idx="179" formatCode="#,##0_);[Red]\(#,##0\)">
                  <c:v>-306332.992590519</c:v>
                </c:pt>
                <c:pt idx="180" formatCode="#,##0_);[Red]\(#,##0\)">
                  <c:v>-304607.1484701578</c:v>
                </c:pt>
                <c:pt idx="181" formatCode="#,##0_);[Red]\(#,##0\)">
                  <c:v>-308737.8394321711</c:v>
                </c:pt>
                <c:pt idx="182" formatCode="#,##0_);[Red]\(#,##0\)">
                  <c:v>-318945.927107171</c:v>
                </c:pt>
                <c:pt idx="183" formatCode="#,##0_);[Red]\(#,##0\)">
                  <c:v>-308414.2180595075</c:v>
                </c:pt>
                <c:pt idx="184" formatCode="#,##0_);[Red]\(#,##0\)">
                  <c:v>-302097.8846015378</c:v>
                </c:pt>
                <c:pt idx="185" formatCode="#,##0_);[Red]\(#,##0\)">
                  <c:v>-297825.5001188751</c:v>
                </c:pt>
                <c:pt idx="186" formatCode="#,##0_);[Red]\(#,##0\)">
                  <c:v>-281182.8502550198</c:v>
                </c:pt>
                <c:pt idx="187" formatCode="#,##0_);[Red]\(#,##0\)">
                  <c:v>-283257.3212687733</c:v>
                </c:pt>
                <c:pt idx="188" formatCode="#,##0_);[Red]\(#,##0\)">
                  <c:v>-281873.620444987</c:v>
                </c:pt>
                <c:pt idx="189" formatCode="#,##0_);[Red]\(#,##0\)">
                  <c:v>-273091.3065381014</c:v>
                </c:pt>
                <c:pt idx="190" formatCode="#,##0_);[Red]\(#,##0\)">
                  <c:v>-237207.1575341494</c:v>
                </c:pt>
                <c:pt idx="191" formatCode="#,##0_);[Red]\(#,##0\)">
                  <c:v>-242134.3209030599</c:v>
                </c:pt>
                <c:pt idx="192" formatCode="#,##0_);[Red]\(#,##0\)">
                  <c:v>-242558.9980214286</c:v>
                </c:pt>
                <c:pt idx="193" formatCode="#,##0_);[Red]\(#,##0\)">
                  <c:v>-260838.8251257032</c:v>
                </c:pt>
                <c:pt idx="194" formatCode="#,##0_);[Red]\(#,##0\)">
                  <c:v>-266984.9606477614</c:v>
                </c:pt>
                <c:pt idx="195" formatCode="#,##0_);[Red]\(#,##0\)">
                  <c:v>-276745.3665145595</c:v>
                </c:pt>
                <c:pt idx="196" formatCode="#,##0_);[Red]\(#,##0\)">
                  <c:v>-277749.9439097981</c:v>
                </c:pt>
                <c:pt idx="197" formatCode="#,##0_);[Red]\(#,##0\)">
                  <c:v>-285100.076114887</c:v>
                </c:pt>
                <c:pt idx="198" formatCode="#,##0_);[Red]\(#,##0\)">
                  <c:v>-293942.9843145948</c:v>
                </c:pt>
                <c:pt idx="199" formatCode="#,##0_);[Red]\(#,##0\)">
                  <c:v>-294268.3287726974</c:v>
                </c:pt>
                <c:pt idx="200" formatCode="#,##0_);[Red]\(#,##0\)">
                  <c:v>-321801.0760072533</c:v>
                </c:pt>
                <c:pt idx="201" formatCode="#,##0_);[Red]\(#,##0\)">
                  <c:v>-329413.46080235</c:v>
                </c:pt>
                <c:pt idx="202" formatCode="#,##0_);[Red]\(#,##0\)">
                  <c:v>-329412.4280710804</c:v>
                </c:pt>
                <c:pt idx="203" formatCode="#,##0_);[Red]\(#,##0\)">
                  <c:v>-323634.234065415</c:v>
                </c:pt>
                <c:pt idx="204" formatCode="#,##0_);[Red]\(#,##0\)">
                  <c:v>-332850.4326553484</c:v>
                </c:pt>
                <c:pt idx="205" formatCode="#,##0_);[Red]\(#,##0\)">
                  <c:v>-343200.502769553</c:v>
                </c:pt>
                <c:pt idx="206" formatCode="#,##0_);[Red]\(#,##0\)">
                  <c:v>-360657.6846205043</c:v>
                </c:pt>
                <c:pt idx="207" formatCode="#,##0_);[Red]\(#,##0\)">
                  <c:v>-376202.0917001656</c:v>
                </c:pt>
                <c:pt idx="208" formatCode="#,##0_);[Red]\(#,##0\)">
                  <c:v>-379832.4964063227</c:v>
                </c:pt>
                <c:pt idx="209" formatCode="#,##0_);[Red]\(#,##0\)">
                  <c:v>-376143.9611277795</c:v>
                </c:pt>
                <c:pt idx="210" formatCode="#,##0_);[Red]\(#,##0\)">
                  <c:v>-375720.6418412586</c:v>
                </c:pt>
                <c:pt idx="211" formatCode="#,##0_);[Red]\(#,##0\)">
                  <c:v>-375558.0257221798</c:v>
                </c:pt>
                <c:pt idx="212" formatCode="#,##0_);[Red]\(#,##0\)">
                  <c:v>-396996.3103930471</c:v>
                </c:pt>
                <c:pt idx="213" formatCode="#,##0_);[Red]\(#,##0\)">
                  <c:v>-398518.1949736478</c:v>
                </c:pt>
                <c:pt idx="214" formatCode="#,##0_);[Red]\(#,##0\)">
                  <c:v>-399248.0448661026</c:v>
                </c:pt>
                <c:pt idx="215" formatCode="#,##0_);[Red]\(#,##0\)">
                  <c:v>-404749.825388966</c:v>
                </c:pt>
                <c:pt idx="216" formatCode="#,##0_);[Red]\(#,##0\)">
                  <c:v>-405669.6351724198</c:v>
                </c:pt>
                <c:pt idx="217" formatCode="#,##0_);[Red]\(#,##0\)">
                  <c:v>-410575.3851019978</c:v>
                </c:pt>
                <c:pt idx="218" formatCode="#,##0_);[Red]\(#,##0\)">
                  <c:v>-414113.8527790154</c:v>
                </c:pt>
                <c:pt idx="219" formatCode="#,##0_);[Red]\(#,##0\)">
                  <c:v>-414189.8309914876</c:v>
                </c:pt>
                <c:pt idx="220" formatCode="#,##0_);[Red]\(#,##0\)">
                  <c:v>-416003.022149924</c:v>
                </c:pt>
                <c:pt idx="221" formatCode="#,##0_);[Red]\(#,##0\)">
                  <c:v>-413279.3881178865</c:v>
                </c:pt>
                <c:pt idx="222" formatCode="#,##0_);[Red]\(#,##0\)">
                  <c:v>-409204.2681609773</c:v>
                </c:pt>
                <c:pt idx="223" formatCode="#,##0_);[Red]\(#,##0\)">
                  <c:v>-406528.5933022535</c:v>
                </c:pt>
                <c:pt idx="224" formatCode="#,##0_);[Red]\(#,##0\)">
                  <c:v>-410446.100420075</c:v>
                </c:pt>
                <c:pt idx="225" formatCode="#,##0_);[Red]\(#,##0\)">
                  <c:v>-414906.8661033263</c:v>
                </c:pt>
                <c:pt idx="226" formatCode="#,##0_);[Red]\(#,##0\)">
                  <c:v>-417379.8037640678</c:v>
                </c:pt>
                <c:pt idx="227" formatCode="#,##0_);[Red]\(#,##0\)">
                  <c:v>-400792.4573482711</c:v>
                </c:pt>
                <c:pt idx="228" formatCode="#,##0_);[Red]\(#,##0\)">
                  <c:v>-401155.6967028301</c:v>
                </c:pt>
                <c:pt idx="229" formatCode="#,##0_);[Red]\(#,##0\)">
                  <c:v>-402781.9904324803</c:v>
                </c:pt>
                <c:pt idx="230" formatCode="#,##0_);[Red]\(#,##0\)">
                  <c:v>-409711.3405100098</c:v>
                </c:pt>
                <c:pt idx="231" formatCode="#,##0_);[Red]\(#,##0\)">
                  <c:v>-421188.8171902556</c:v>
                </c:pt>
                <c:pt idx="232" formatCode="#,##0_);[Red]\(#,##0\)">
                  <c:v>-408827.7766545218</c:v>
                </c:pt>
                <c:pt idx="233" formatCode="#,##0_);[Red]\(#,##0\)">
                  <c:v>-408389.6381649603</c:v>
                </c:pt>
                <c:pt idx="234" formatCode="#,##0_);[Red]\(#,##0\)">
                  <c:v>-401139.7251936275</c:v>
                </c:pt>
                <c:pt idx="235" formatCode="#,##0_);[Red]\(#,##0\)">
                  <c:v>-432414.4993136464</c:v>
                </c:pt>
                <c:pt idx="236" formatCode="#,##0_);[Red]\(#,##0\)">
                  <c:v>-423053.8843932175</c:v>
                </c:pt>
                <c:pt idx="237" formatCode="#,##0_);[Red]\(#,##0\)">
                  <c:v>-411526.1542705366</c:v>
                </c:pt>
                <c:pt idx="238" formatCode="#,##0_);[Red]\(#,##0\)">
                  <c:v>-410165.8097024543</c:v>
                </c:pt>
                <c:pt idx="239" formatCode="#,##0_);[Red]\(#,##0\)">
                  <c:v>-409932.7081657025</c:v>
                </c:pt>
                <c:pt idx="240" formatCode="#,##0_);[Red]\(#,##0\)">
                  <c:v>-410194.3009174112</c:v>
                </c:pt>
                <c:pt idx="241" formatCode="#,##0_);[Red]\(#,##0\)">
                  <c:v>-409720.9839237332</c:v>
                </c:pt>
                <c:pt idx="242" formatCode="#,##0_);[Red]\(#,##0\)">
                  <c:v>-401865.0782827558</c:v>
                </c:pt>
                <c:pt idx="243" formatCode="#,##0_);[Red]\(#,##0\)">
                  <c:v>-400643.1015721143</c:v>
                </c:pt>
                <c:pt idx="244" formatCode="#,##0_);[Red]\(#,##0\)">
                  <c:v>-398552.4373289681</c:v>
                </c:pt>
                <c:pt idx="245" formatCode="#,##0_);[Red]\(#,##0\)">
                  <c:v>-410916.8025115306</c:v>
                </c:pt>
                <c:pt idx="246" formatCode="#,##0_);[Red]\(#,##0\)">
                  <c:v>-425713.4995436675</c:v>
                </c:pt>
                <c:pt idx="247" formatCode="#,##0_);[Red]\(#,##0\)">
                  <c:v>-440595.983390592</c:v>
                </c:pt>
                <c:pt idx="248" formatCode="#,##0_);[Red]\(#,##0\)">
                  <c:v>-447327.9913907921</c:v>
                </c:pt>
                <c:pt idx="249" formatCode="#,##0_);[Red]\(#,##0\)">
                  <c:v>-450534.948334531</c:v>
                </c:pt>
                <c:pt idx="250" formatCode="#,##0_);[Red]\(#,##0\)">
                  <c:v>-455796.1027191777</c:v>
                </c:pt>
                <c:pt idx="251" formatCode="#,##0_);[Red]\(#,##0\)">
                  <c:v>-461925.6003866735</c:v>
                </c:pt>
                <c:pt idx="252" formatCode="#,##0_);[Red]\(#,##0\)">
                  <c:v>-464298.0563352268</c:v>
                </c:pt>
                <c:pt idx="253" formatCode="#,##0_);[Red]\(#,##0\)">
                  <c:v>-455892.679573448</c:v>
                </c:pt>
                <c:pt idx="254" formatCode="#,##0_);[Red]\(#,##0\)">
                  <c:v>-460166.2156034052</c:v>
                </c:pt>
                <c:pt idx="255" formatCode="#,##0_);[Red]\(#,##0\)">
                  <c:v>-448672.5981391884</c:v>
                </c:pt>
                <c:pt idx="256" formatCode="#,##0_);[Red]\(#,##0\)">
                  <c:v>-449219.827252542</c:v>
                </c:pt>
                <c:pt idx="257" formatCode="#,##0_);[Red]\(#,##0\)">
                  <c:v>-442815.4376367966</c:v>
                </c:pt>
                <c:pt idx="258" formatCode="#,##0_);[Red]\(#,##0\)">
                  <c:v>-447785.7817991671</c:v>
                </c:pt>
                <c:pt idx="259" formatCode="#,##0_);[Red]\(#,##0\)">
                  <c:v>-446983.7932441914</c:v>
                </c:pt>
                <c:pt idx="260" formatCode="#,##0_);[Red]\(#,##0\)">
                  <c:v>-424268.9059679736</c:v>
                </c:pt>
                <c:pt idx="261" formatCode="#,##0_);[Red]\(#,##0\)">
                  <c:v>-417887.1227059301</c:v>
                </c:pt>
                <c:pt idx="262" formatCode="#,##0_);[Red]\(#,##0\)">
                  <c:v>-421737.6315200495</c:v>
                </c:pt>
                <c:pt idx="263" formatCode="#,##0_);[Red]\(#,##0\)">
                  <c:v>-429003.74398566</c:v>
                </c:pt>
                <c:pt idx="264" formatCode="#,##0_);[Red]\(#,##0\)">
                  <c:v>-424049.4293519266</c:v>
                </c:pt>
                <c:pt idx="265" formatCode="#,##0_);[Red]\(#,##0\)">
                  <c:v>-423065.0869754807</c:v>
                </c:pt>
                <c:pt idx="266" formatCode="#,##0_);[Red]\(#,##0\)">
                  <c:v>-429368.1426748157</c:v>
                </c:pt>
                <c:pt idx="267" formatCode="#,##0_);[Red]\(#,##0\)">
                  <c:v>-429199.0597100747</c:v>
                </c:pt>
                <c:pt idx="268" formatCode="#,##0_);[Red]\(#,##0\)">
                  <c:v>-444690.3139579195</c:v>
                </c:pt>
                <c:pt idx="269" formatCode="#,##0_);[Red]\(#,##0\)">
                  <c:v>-452502.4103437801</c:v>
                </c:pt>
                <c:pt idx="270" formatCode="#,##0_);[Red]\(#,##0\)">
                  <c:v>-457666.2505462538</c:v>
                </c:pt>
                <c:pt idx="271" formatCode="#,##0_);[Red]\(#,##0\)">
                  <c:v>-469300.6673062287</c:v>
                </c:pt>
                <c:pt idx="272" formatCode="#,##0_);[Red]\(#,##0\)">
                  <c:v>-448957.5647232149</c:v>
                </c:pt>
                <c:pt idx="273" formatCode="#,##0_);[Red]\(#,##0\)">
                  <c:v>-447443.4645042424</c:v>
                </c:pt>
                <c:pt idx="274" formatCode="#,##0_);[Red]\(#,##0\)">
                  <c:v>-445192.7326533235</c:v>
                </c:pt>
                <c:pt idx="275" formatCode="#,##0_);[Red]\(#,##0\)">
                  <c:v>-442725.3131275424</c:v>
                </c:pt>
                <c:pt idx="276" formatCode="#,##0_);[Red]\(#,##0\)">
                  <c:v>-437556.3849018297</c:v>
                </c:pt>
                <c:pt idx="277" formatCode="#,##0_);[Red]\(#,##0\)">
                  <c:v>-429247.0227906698</c:v>
                </c:pt>
                <c:pt idx="278" formatCode="#,##0_);[Red]\(#,##0\)">
                  <c:v>-428023.9981354165</c:v>
                </c:pt>
                <c:pt idx="279" formatCode="#,##0_);[Red]\(#,##0\)">
                  <c:v>-429906.2540185893</c:v>
                </c:pt>
                <c:pt idx="280" formatCode="#,##0_);[Red]\(#,##0\)">
                  <c:v>-426332.0467714292</c:v>
                </c:pt>
                <c:pt idx="281" formatCode="#,##0_);[Red]\(#,##0\)">
                  <c:v>-421881.6688266909</c:v>
                </c:pt>
                <c:pt idx="282" formatCode="#,##0_);[Red]\(#,##0\)">
                  <c:v>-425888.976861171</c:v>
                </c:pt>
                <c:pt idx="283" formatCode="#,##0_);[Red]\(#,##0\)">
                  <c:v>-420695.3573439993</c:v>
                </c:pt>
                <c:pt idx="284" formatCode="#,##0_);[Red]\(#,##0\)">
                  <c:v>-411915.8916352846</c:v>
                </c:pt>
                <c:pt idx="285" formatCode="#,##0_);[Red]\(#,##0\)">
                  <c:v>-406688.9955181786</c:v>
                </c:pt>
                <c:pt idx="286" formatCode="#,##0_);[Red]\(#,##0\)">
                  <c:v>-399430.0895574479</c:v>
                </c:pt>
                <c:pt idx="287" formatCode="#,##0_);[Red]\(#,##0\)">
                  <c:v>-398803.4922455161</c:v>
                </c:pt>
                <c:pt idx="288" formatCode="#,##0_);[Red]\(#,##0\)">
                  <c:v>-400377.3608121418</c:v>
                </c:pt>
                <c:pt idx="289" formatCode="#,##0_);[Red]\(#,##0\)">
                  <c:v>-441098.3567207069</c:v>
                </c:pt>
                <c:pt idx="290" formatCode="#,##0_);[Red]\(#,##0\)">
                  <c:v>-443782.7692468536</c:v>
                </c:pt>
                <c:pt idx="291" formatCode="#,##0_);[Red]\(#,##0\)">
                  <c:v>-443223.4856103924</c:v>
                </c:pt>
                <c:pt idx="292" formatCode="#,##0_);[Red]\(#,##0\)">
                  <c:v>-462854.929142989</c:v>
                </c:pt>
                <c:pt idx="293" formatCode="#,##0_);[Red]\(#,##0\)">
                  <c:v>-480115.9903794817</c:v>
                </c:pt>
                <c:pt idx="294" formatCode="#,##0_);[Red]\(#,##0\)">
                  <c:v>-478728.025337623</c:v>
                </c:pt>
                <c:pt idx="295" formatCode="#,##0_);[Red]\(#,##0\)">
                  <c:v>-469015.5009505363</c:v>
                </c:pt>
                <c:pt idx="296" formatCode="#,##0_);[Red]\(#,##0\)">
                  <c:v>-473416.4070127711</c:v>
                </c:pt>
                <c:pt idx="297" formatCode="#,##0_);[Red]\(#,##0\)">
                  <c:v>-471928.0954746548</c:v>
                </c:pt>
                <c:pt idx="298" formatCode="#,##0_);[Red]\(#,##0\)">
                  <c:v>-487250.3353899055</c:v>
                </c:pt>
                <c:pt idx="299" formatCode="#,##0_);[Red]\(#,##0\)">
                  <c:v>-487154.3682593628</c:v>
                </c:pt>
                <c:pt idx="300" formatCode="#,##0_);[Red]\(#,##0\)">
                  <c:v>-494741.2368354284</c:v>
                </c:pt>
                <c:pt idx="301" formatCode="#,##0_);[Red]\(#,##0\)">
                  <c:v>-488463.3250200848</c:v>
                </c:pt>
                <c:pt idx="302" formatCode="#,##0_);[Red]\(#,##0\)">
                  <c:v>-497102.4318711236</c:v>
                </c:pt>
                <c:pt idx="303" formatCode="#,##0_);[Red]\(#,##0\)">
                  <c:v>-505155.1413374788</c:v>
                </c:pt>
                <c:pt idx="304" formatCode="#,##0_);[Red]\(#,##0\)">
                  <c:v>-510702.3904170027</c:v>
                </c:pt>
                <c:pt idx="305" formatCode="#,##0_);[Red]\(#,##0\)">
                  <c:v>-506926.4955826904</c:v>
                </c:pt>
                <c:pt idx="306" formatCode="#,##0_);[Red]\(#,##0\)">
                  <c:v>-509560.6266807379</c:v>
                </c:pt>
                <c:pt idx="307" formatCode="#,##0_);[Red]\(#,##0\)">
                  <c:v>-499825.3257416899</c:v>
                </c:pt>
                <c:pt idx="308" formatCode="#,##0_);[Red]\(#,##0\)">
                  <c:v>-495753.4120818491</c:v>
                </c:pt>
                <c:pt idx="309" formatCode="#,##0_);[Red]\(#,##0\)">
                  <c:v>-496376.6622563484</c:v>
                </c:pt>
                <c:pt idx="310" formatCode="#,##0_);[Red]\(#,##0\)">
                  <c:v>-496170.2772218515</c:v>
                </c:pt>
                <c:pt idx="311" formatCode="#,##0_);[Red]\(#,##0\)">
                  <c:v>-486312.3474590576</c:v>
                </c:pt>
                <c:pt idx="312" formatCode="#,##0_);[Red]\(#,##0\)">
                  <c:v>-486432.2853043426</c:v>
                </c:pt>
                <c:pt idx="313" formatCode="#,##0_);[Red]\(#,##0\)">
                  <c:v>-482346.6126224348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8739672"/>
        <c:axId val="-2058736168"/>
      </c:lineChart>
      <c:catAx>
        <c:axId val="-2058739672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736168"/>
        <c:crosses val="autoZero"/>
        <c:auto val="0"/>
        <c:lblAlgn val="ctr"/>
        <c:lblOffset val="100"/>
        <c:tickLblSkip val="8"/>
        <c:tickMarkSkip val="1"/>
        <c:noMultiLvlLbl val="0"/>
      </c:catAx>
      <c:valAx>
        <c:axId val="-2058736168"/>
        <c:scaling>
          <c:orientation val="minMax"/>
        </c:scaling>
        <c:delete val="1"/>
        <c:axPos val="l"/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 $</a:t>
                </a:r>
              </a:p>
            </c:rich>
          </c:tx>
          <c:layout>
            <c:manualLayout>
              <c:xMode val="edge"/>
              <c:yMode val="edge"/>
              <c:x val="0.0"/>
              <c:y val="0.490196078431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crossAx val="-2058739672"/>
        <c:crosses val="autoZero"/>
        <c:crossBetween val="midCat"/>
      </c:valAx>
      <c:spPr>
        <a:solidFill>
          <a:srgbClr val="FFFF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851851851852"/>
          <c:y val="0.81917211328976"/>
          <c:w val="0.216296296296296"/>
          <c:h val="0.09586056644880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CCFFCC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40740740741"/>
          <c:y val="0.0261437908496732"/>
          <c:w val="0.765925925925926"/>
          <c:h val="0.932461873638344"/>
        </c:manualLayout>
      </c:layout>
      <c:lineChart>
        <c:grouping val="standard"/>
        <c:varyColors val="0"/>
        <c:ser>
          <c:idx val="0"/>
          <c:order val="0"/>
          <c:tx>
            <c:v>Quarter Sales</c:v>
          </c:tx>
          <c:spPr>
            <a:ln w="38100">
              <a:solidFill>
                <a:srgbClr val="339933"/>
              </a:solidFill>
              <a:prstDash val="solid"/>
            </a:ln>
          </c:spPr>
          <c:marker>
            <c:symbol val="none"/>
          </c:marker>
          <c:cat>
            <c:numRef>
              <c:f>'Month S&amp;P'!$GF$18:$GF$93</c:f>
              <c:numCache>
                <c:formatCode>General</c:formatCode>
                <c:ptCount val="76"/>
              </c:numCache>
            </c:numRef>
          </c:cat>
          <c:val>
            <c:numRef>
              <c:f>'Month S&amp;P'!$GG$16:$GG$93</c:f>
              <c:numCache>
                <c:formatCode>General</c:formatCode>
                <c:ptCount val="78"/>
              </c:numCache>
            </c:numRef>
          </c:val>
          <c:smooth val="0"/>
        </c:ser>
        <c:ser>
          <c:idx val="2"/>
          <c:order val="1"/>
          <c:tx>
            <c:v>Quarter Profit</c:v>
          </c:tx>
          <c:spPr>
            <a:ln w="38100">
              <a:solidFill>
                <a:srgbClr val="900000"/>
              </a:solidFill>
              <a:prstDash val="solid"/>
            </a:ln>
          </c:spPr>
          <c:marker>
            <c:symbol val="none"/>
          </c:marker>
          <c:cat>
            <c:numRef>
              <c:f>'Month S&amp;P'!$GF$18:$GF$93</c:f>
              <c:numCache>
                <c:formatCode>General</c:formatCode>
                <c:ptCount val="76"/>
              </c:numCache>
            </c:numRef>
          </c:cat>
          <c:val>
            <c:numRef>
              <c:f>'Month S&amp;P'!$GH$16:$GH$93</c:f>
              <c:numCache>
                <c:formatCode>General</c:formatCode>
                <c:ptCount val="78"/>
              </c:numCache>
            </c:numRef>
          </c:val>
          <c:smooth val="0"/>
        </c:ser>
        <c:ser>
          <c:idx val="5"/>
          <c:order val="2"/>
          <c:tx>
            <c:strRef>
              <c:f>'Month S&amp;P'!$GV$1</c:f>
              <c:strCache>
                <c:ptCount val="1"/>
                <c:pt idx="0">
                  <c:v>12M Rolling P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'Month S&amp;P'!$GD$18:$GD$909</c:f>
              <c:numCache>
                <c:formatCode>General</c:formatCode>
                <c:ptCount val="892"/>
              </c:numCache>
            </c:numRef>
          </c:cat>
          <c:val>
            <c:numRef>
              <c:f>'Month S&amp;P'!$GP$2:$GP$88</c:f>
              <c:numCache>
                <c:formatCode>#,##0_);[Red]\(#,##0\)</c:formatCode>
                <c:ptCount val="87"/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20346.0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725091.6168</c:v>
                </c:pt>
                <c:pt idx="44">
                  <c:v>725091.6168</c:v>
                </c:pt>
                <c:pt idx="45">
                  <c:v>725091.6168</c:v>
                </c:pt>
                <c:pt idx="46">
                  <c:v>725091.6168</c:v>
                </c:pt>
                <c:pt idx="47">
                  <c:v>725091.6168</c:v>
                </c:pt>
                <c:pt idx="48">
                  <c:v>725091.6168</c:v>
                </c:pt>
                <c:pt idx="49">
                  <c:v>725091.6168</c:v>
                </c:pt>
                <c:pt idx="50">
                  <c:v>725091.6168</c:v>
                </c:pt>
                <c:pt idx="51">
                  <c:v>725091.6168</c:v>
                </c:pt>
                <c:pt idx="52">
                  <c:v>725091.6168</c:v>
                </c:pt>
                <c:pt idx="53">
                  <c:v>725091.6168</c:v>
                </c:pt>
                <c:pt idx="54">
                  <c:v>725091.6168</c:v>
                </c:pt>
                <c:pt idx="55">
                  <c:v>725091.6168</c:v>
                </c:pt>
                <c:pt idx="56">
                  <c:v>725091.6168</c:v>
                </c:pt>
                <c:pt idx="57">
                  <c:v>725091.6168</c:v>
                </c:pt>
                <c:pt idx="58">
                  <c:v>725091.6168</c:v>
                </c:pt>
                <c:pt idx="59">
                  <c:v>725091.6168</c:v>
                </c:pt>
                <c:pt idx="60">
                  <c:v>725091.6168</c:v>
                </c:pt>
                <c:pt idx="61">
                  <c:v>725091.6168</c:v>
                </c:pt>
                <c:pt idx="62">
                  <c:v>725091.6168</c:v>
                </c:pt>
                <c:pt idx="63">
                  <c:v>725091.6168</c:v>
                </c:pt>
                <c:pt idx="64">
                  <c:v>725091.6168</c:v>
                </c:pt>
                <c:pt idx="65">
                  <c:v>725091.6168</c:v>
                </c:pt>
                <c:pt idx="66">
                  <c:v>725091.6168</c:v>
                </c:pt>
                <c:pt idx="67">
                  <c:v>725091.6168</c:v>
                </c:pt>
                <c:pt idx="68">
                  <c:v>725091.6168</c:v>
                </c:pt>
                <c:pt idx="69">
                  <c:v>725091.6168</c:v>
                </c:pt>
                <c:pt idx="70">
                  <c:v>725091.6168</c:v>
                </c:pt>
                <c:pt idx="71">
                  <c:v>725091.6168</c:v>
                </c:pt>
                <c:pt idx="72">
                  <c:v>725091.6168</c:v>
                </c:pt>
                <c:pt idx="73">
                  <c:v>725091.6168</c:v>
                </c:pt>
                <c:pt idx="74">
                  <c:v>725091.6168</c:v>
                </c:pt>
                <c:pt idx="75">
                  <c:v>725091.6168</c:v>
                </c:pt>
                <c:pt idx="76">
                  <c:v>725091.6168</c:v>
                </c:pt>
                <c:pt idx="77">
                  <c:v>725091.6168</c:v>
                </c:pt>
                <c:pt idx="78">
                  <c:v>725091.6168</c:v>
                </c:pt>
                <c:pt idx="79">
                  <c:v>725091.6168</c:v>
                </c:pt>
                <c:pt idx="80">
                  <c:v>725091.6168</c:v>
                </c:pt>
                <c:pt idx="81">
                  <c:v>725091.6168</c:v>
                </c:pt>
                <c:pt idx="82">
                  <c:v>725091.6168</c:v>
                </c:pt>
                <c:pt idx="83">
                  <c:v>725091.6168</c:v>
                </c:pt>
                <c:pt idx="84">
                  <c:v>725091.6168</c:v>
                </c:pt>
                <c:pt idx="85">
                  <c:v>725091.6168</c:v>
                </c:pt>
                <c:pt idx="86">
                  <c:v>725091.6168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'Month S&amp;P'!$GS$1</c:f>
              <c:strCache>
                <c:ptCount val="1"/>
                <c:pt idx="0">
                  <c:v>Prior 4Q avg</c:v>
                </c:pt>
              </c:strCache>
            </c:strRef>
          </c:tx>
          <c:spPr>
            <a:ln w="3175">
              <a:solidFill>
                <a:srgbClr val="CCFFCC"/>
              </a:solidFill>
              <a:prstDash val="lgDash"/>
            </a:ln>
          </c:spPr>
          <c:marker>
            <c:symbol val="none"/>
          </c:marker>
          <c:cat>
            <c:numRef>
              <c:f>'Month S&amp;P'!$GF$18:$GF$93</c:f>
              <c:numCache>
                <c:formatCode>General</c:formatCode>
                <c:ptCount val="76"/>
              </c:numCache>
            </c:numRef>
          </c:cat>
          <c:val>
            <c:numRef>
              <c:f>'Month S&amp;P'!$GM$2:$GM$93</c:f>
              <c:numCache>
                <c:formatCode>#,##0_);[Red]\(#,##0\)</c:formatCode>
                <c:ptCount val="92"/>
                <c:pt idx="0">
                  <c:v>1.088506E6</c:v>
                </c:pt>
                <c:pt idx="1">
                  <c:v>1.186679E6</c:v>
                </c:pt>
                <c:pt idx="2">
                  <c:v>1.918309E6</c:v>
                </c:pt>
                <c:pt idx="3">
                  <c:v>1.653967E6</c:v>
                </c:pt>
                <c:pt idx="4">
                  <c:v>1.22516172E6</c:v>
                </c:pt>
                <c:pt idx="5">
                  <c:v>1.868561E6</c:v>
                </c:pt>
                <c:pt idx="6">
                  <c:v>2.365931E6</c:v>
                </c:pt>
                <c:pt idx="7">
                  <c:v>2.433592E6</c:v>
                </c:pt>
                <c:pt idx="8">
                  <c:v>2.223731E6</c:v>
                </c:pt>
                <c:pt idx="9">
                  <c:v>2.765531E6</c:v>
                </c:pt>
                <c:pt idx="10">
                  <c:v>3.123531E6</c:v>
                </c:pt>
                <c:pt idx="11">
                  <c:v>2.654649E6</c:v>
                </c:pt>
                <c:pt idx="12">
                  <c:v>2.65184E6</c:v>
                </c:pt>
                <c:pt idx="13">
                  <c:v>3.259833E6</c:v>
                </c:pt>
                <c:pt idx="14" formatCode="mmm\-yy">
                  <c:v>32020.0</c:v>
                </c:pt>
                <c:pt idx="15">
                  <c:v>4.871204E6</c:v>
                </c:pt>
                <c:pt idx="16">
                  <c:v>3.334861E6</c:v>
                </c:pt>
                <c:pt idx="17">
                  <c:v>4.309523E6</c:v>
                </c:pt>
                <c:pt idx="18">
                  <c:v>4.444792E6</c:v>
                </c:pt>
                <c:pt idx="19">
                  <c:v>3.938491E6</c:v>
                </c:pt>
                <c:pt idx="20">
                  <c:v>3.788469E6</c:v>
                </c:pt>
                <c:pt idx="21">
                  <c:v>4.32170915E6</c:v>
                </c:pt>
                <c:pt idx="22">
                  <c:v>3.7848182E6</c:v>
                </c:pt>
                <c:pt idx="23">
                  <c:v>3.8167742E6</c:v>
                </c:pt>
                <c:pt idx="24">
                  <c:v>3.53129406E6</c:v>
                </c:pt>
                <c:pt idx="25">
                  <c:v>4.6652661E6</c:v>
                </c:pt>
                <c:pt idx="26">
                  <c:v>4.91229859E6</c:v>
                </c:pt>
                <c:pt idx="27">
                  <c:v>5.448567E6</c:v>
                </c:pt>
                <c:pt idx="28">
                  <c:v>4.0641305284E6</c:v>
                </c:pt>
                <c:pt idx="29">
                  <c:v>4.1968556012E6</c:v>
                </c:pt>
                <c:pt idx="30">
                  <c:v>4.2614313764E6</c:v>
                </c:pt>
                <c:pt idx="31">
                  <c:v>3.9784405156E6</c:v>
                </c:pt>
                <c:pt idx="32">
                  <c:v>3.4509549552E6</c:v>
                </c:pt>
                <c:pt idx="33">
                  <c:v>4.1970266256E6</c:v>
                </c:pt>
                <c:pt idx="34">
                  <c:v>3.7446230528E6</c:v>
                </c:pt>
                <c:pt idx="35">
                  <c:v>3.5562596576E6</c:v>
                </c:pt>
                <c:pt idx="36">
                  <c:v>3.148665488E6</c:v>
                </c:pt>
                <c:pt idx="37">
                  <c:v>2.888091076E6</c:v>
                </c:pt>
                <c:pt idx="38">
                  <c:v>3.442201504E6</c:v>
                </c:pt>
                <c:pt idx="39">
                  <c:v>3.62625464E6</c:v>
                </c:pt>
                <c:pt idx="40">
                  <c:v>2.924883E6</c:v>
                </c:pt>
                <c:pt idx="41">
                  <c:v>2.877578E6</c:v>
                </c:pt>
                <c:pt idx="42">
                  <c:v>2.753828E6</c:v>
                </c:pt>
                <c:pt idx="43">
                  <c:v>3.069151E6</c:v>
                </c:pt>
                <c:pt idx="44">
                  <c:v>2.939415E6</c:v>
                </c:pt>
                <c:pt idx="45">
                  <c:v>2.905334E6</c:v>
                </c:pt>
                <c:pt idx="46">
                  <c:v>2.999247E6</c:v>
                </c:pt>
                <c:pt idx="47">
                  <c:v>3.095458E6</c:v>
                </c:pt>
                <c:pt idx="48">
                  <c:v>3.025293E6</c:v>
                </c:pt>
                <c:pt idx="49">
                  <c:v>3.561467E6</c:v>
                </c:pt>
                <c:pt idx="50">
                  <c:v>3.558997E6</c:v>
                </c:pt>
                <c:pt idx="51">
                  <c:v>3.343837E6</c:v>
                </c:pt>
                <c:pt idx="52">
                  <c:v>3.457649E6</c:v>
                </c:pt>
                <c:pt idx="53">
                  <c:v>4.739374E6</c:v>
                </c:pt>
                <c:pt idx="54">
                  <c:v>3.799573E6</c:v>
                </c:pt>
                <c:pt idx="55">
                  <c:v>4.243822E6</c:v>
                </c:pt>
                <c:pt idx="56">
                  <c:v>3.662045E6</c:v>
                </c:pt>
                <c:pt idx="57">
                  <c:v>4.063314E6</c:v>
                </c:pt>
                <c:pt idx="58">
                  <c:v>2.66643E6</c:v>
                </c:pt>
                <c:pt idx="59">
                  <c:v>3.469122E6</c:v>
                </c:pt>
                <c:pt idx="60">
                  <c:v>2.668385E6</c:v>
                </c:pt>
                <c:pt idx="61">
                  <c:v>4.313842E6</c:v>
                </c:pt>
                <c:pt idx="62">
                  <c:v>4.052677E6</c:v>
                </c:pt>
                <c:pt idx="63">
                  <c:v>3.640096E6</c:v>
                </c:pt>
                <c:pt idx="64">
                  <c:v>3.550028E6</c:v>
                </c:pt>
                <c:pt idx="65">
                  <c:v>3.851666E6</c:v>
                </c:pt>
                <c:pt idx="66">
                  <c:v>3.391286E6</c:v>
                </c:pt>
                <c:pt idx="67">
                  <c:v>3.216533E6</c:v>
                </c:pt>
                <c:pt idx="68">
                  <c:v>3.084137E6</c:v>
                </c:pt>
                <c:pt idx="69">
                  <c:v>4.739653E6</c:v>
                </c:pt>
                <c:pt idx="70">
                  <c:v>3.51013E6</c:v>
                </c:pt>
                <c:pt idx="71">
                  <c:v>3.581896E6</c:v>
                </c:pt>
                <c:pt idx="72">
                  <c:v>3.83991E6</c:v>
                </c:pt>
                <c:pt idx="73">
                  <c:v>4.583589E6</c:v>
                </c:pt>
                <c:pt idx="74">
                  <c:v>4.099151E6</c:v>
                </c:pt>
                <c:pt idx="75">
                  <c:v>4.519298E6</c:v>
                </c:pt>
                <c:pt idx="76">
                  <c:v>3.48409E6</c:v>
                </c:pt>
                <c:pt idx="77">
                  <c:v>5.743727E6</c:v>
                </c:pt>
                <c:pt idx="78">
                  <c:v>5.400084E6</c:v>
                </c:pt>
                <c:pt idx="79">
                  <c:v>5.774029E6</c:v>
                </c:pt>
                <c:pt idx="80">
                  <c:v>4.800812E6</c:v>
                </c:pt>
                <c:pt idx="81">
                  <c:v>7.571472E6</c:v>
                </c:pt>
                <c:pt idx="82">
                  <c:v>7.521496E6</c:v>
                </c:pt>
                <c:pt idx="83">
                  <c:v>7.064912E6</c:v>
                </c:pt>
                <c:pt idx="84">
                  <c:v>5.034581E6</c:v>
                </c:pt>
                <c:pt idx="85">
                  <c:v>5.235394E6</c:v>
                </c:pt>
                <c:pt idx="86">
                  <c:v>5.76283E6</c:v>
                </c:pt>
                <c:pt idx="87">
                  <c:v>5.036208E6</c:v>
                </c:pt>
                <c:pt idx="88">
                  <c:v>3.82968E6</c:v>
                </c:pt>
                <c:pt idx="89">
                  <c:v>7.602266E6</c:v>
                </c:pt>
                <c:pt idx="90">
                  <c:v>6.233004E6</c:v>
                </c:pt>
                <c:pt idx="91">
                  <c:v>5.871096E6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'Month S&amp;P'!$GJ$1</c:f>
              <c:strCache>
                <c:ptCount val="1"/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none"/>
          </c:marker>
          <c:cat>
            <c:numRef>
              <c:f>'Month S&amp;P'!$GF$18:$GF$83</c:f>
              <c:numCache>
                <c:formatCode>General</c:formatCode>
                <c:ptCount val="66"/>
              </c:numCache>
            </c:numRef>
          </c:cat>
          <c:val>
            <c:numRef>
              <c:f>'Month S&amp;P'!$FW$2:$FW$69</c:f>
              <c:numCache>
                <c:formatCode>0%;[Red]\(0%\)</c:formatCode>
                <c:ptCount val="68"/>
                <c:pt idx="0" formatCode="General">
                  <c:v>1997.0</c:v>
                </c:pt>
                <c:pt idx="1">
                  <c:v>0.0728330060627177</c:v>
                </c:pt>
                <c:pt idx="2">
                  <c:v>0.0397990009750923</c:v>
                </c:pt>
                <c:pt idx="3">
                  <c:v>0.0267477548994769</c:v>
                </c:pt>
                <c:pt idx="4">
                  <c:v>-0.0334584701590155</c:v>
                </c:pt>
                <c:pt idx="5">
                  <c:v>-0.0165907823557382</c:v>
                </c:pt>
                <c:pt idx="6">
                  <c:v>-0.040599104500897</c:v>
                </c:pt>
                <c:pt idx="7">
                  <c:v>-0.0472683638811628</c:v>
                </c:pt>
                <c:pt idx="8">
                  <c:v>-0.037616640164806</c:v>
                </c:pt>
                <c:pt idx="9">
                  <c:v>-0.0254409590879837</c:v>
                </c:pt>
                <c:pt idx="10">
                  <c:v>-0.00532720689976314</c:v>
                </c:pt>
                <c:pt idx="11">
                  <c:v>-0.00116012101282061</c:v>
                </c:pt>
                <c:pt idx="12">
                  <c:v>0.00276506318334706</c:v>
                </c:pt>
                <c:pt idx="13" formatCode="0%">
                  <c:v>0.00276548452951673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8768856"/>
        <c:axId val="-2058821992"/>
      </c:lineChart>
      <c:dateAx>
        <c:axId val="-2058768856"/>
        <c:scaling>
          <c:orientation val="minMax"/>
          <c:max val="7150.0"/>
        </c:scaling>
        <c:delete val="0"/>
        <c:axPos val="b"/>
        <c:numFmt formatCode="m/d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8821992"/>
        <c:crosses val="autoZero"/>
        <c:auto val="1"/>
        <c:lblOffset val="100"/>
        <c:baseTimeUnit val="days"/>
        <c:majorUnit val="1.0"/>
        <c:majorTimeUnit val="years"/>
        <c:minorUnit val="6.0"/>
        <c:minorTimeUnit val="months"/>
      </c:dateAx>
      <c:valAx>
        <c:axId val="-2058821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8768856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CF305" mc:Ignorable="a14" a14:legacySpreadsheetColorIndex="13"/>
            </a:gs>
            <a:gs pos="100000">
              <a:srgbClr xmlns:mc="http://schemas.openxmlformats.org/markup-compatibility/2006" xmlns:a14="http://schemas.microsoft.com/office/drawing/2010/main" val="757002" mc:Ignorable="a14" a14:legacySpreadsheetColorIndex="13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12700">
          <a:solidFill>
            <a:srgbClr val="90713A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"/>
          <c:y val="0.0"/>
          <c:w val="0.179259259259259"/>
          <c:h val="0.372549019607843"/>
        </c:manualLayout>
      </c:layout>
      <c:overlay val="0"/>
      <c:spPr>
        <a:solidFill>
          <a:srgbClr val="FFFFC0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December + January + February</a:t>
            </a:r>
          </a:p>
        </c:rich>
      </c:tx>
      <c:layout>
        <c:manualLayout>
          <c:xMode val="edge"/>
          <c:yMode val="edge"/>
          <c:x val="0.334814814814815"/>
          <c:y val="0.13725490196078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592592592593"/>
          <c:y val="0.132897603485839"/>
          <c:w val="0.786666666666667"/>
          <c:h val="0.8387799564270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38100">
              <a:pattFill prst="pct50">
                <a:fgClr>
                  <a:srgbClr val="FFFFFF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strRef>
              <c:f>'Month S&amp;P'!$A$14:$A$325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S&amp;P'!$K$16:$K$325</c:f>
              <c:numCache>
                <c:formatCode>#,##0_);[Red]\(#,##0\)</c:formatCode>
                <c:ptCount val="310"/>
                <c:pt idx="0">
                  <c:v>-307764.0</c:v>
                </c:pt>
                <c:pt idx="12">
                  <c:v>-2926.0</c:v>
                </c:pt>
                <c:pt idx="24">
                  <c:v>-425839.0</c:v>
                </c:pt>
                <c:pt idx="36">
                  <c:v>159704.0</c:v>
                </c:pt>
                <c:pt idx="48">
                  <c:v>-550446.0</c:v>
                </c:pt>
                <c:pt idx="60">
                  <c:v>-421417.02</c:v>
                </c:pt>
                <c:pt idx="72">
                  <c:v>-354761.444</c:v>
                </c:pt>
                <c:pt idx="84">
                  <c:v>-246304.608</c:v>
                </c:pt>
                <c:pt idx="96">
                  <c:v>253890.208</c:v>
                </c:pt>
                <c:pt idx="108">
                  <c:v>-68546.99</c:v>
                </c:pt>
                <c:pt idx="120">
                  <c:v>161839.0</c:v>
                </c:pt>
                <c:pt idx="132">
                  <c:v>187834.0</c:v>
                </c:pt>
                <c:pt idx="144">
                  <c:v>366969.0</c:v>
                </c:pt>
                <c:pt idx="156">
                  <c:v>-217326.0</c:v>
                </c:pt>
                <c:pt idx="168">
                  <c:v>-220716.0</c:v>
                </c:pt>
                <c:pt idx="180">
                  <c:v>-553259.0</c:v>
                </c:pt>
                <c:pt idx="192">
                  <c:v>-775954.0</c:v>
                </c:pt>
                <c:pt idx="204">
                  <c:v>-111656.0</c:v>
                </c:pt>
                <c:pt idx="216">
                  <c:v>-707939.0</c:v>
                </c:pt>
                <c:pt idx="228">
                  <c:v>185692.0</c:v>
                </c:pt>
                <c:pt idx="240">
                  <c:v>-181073.0</c:v>
                </c:pt>
                <c:pt idx="252">
                  <c:v>-842796.0</c:v>
                </c:pt>
                <c:pt idx="264">
                  <c:v>110692.0</c:v>
                </c:pt>
                <c:pt idx="302" formatCode="General">
                  <c:v>0.0</c:v>
                </c:pt>
                <c:pt idx="309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'Month S&amp;P'!$K$14</c:f>
              <c:strCache>
                <c:ptCount val="1"/>
              </c:strCache>
            </c:strRef>
          </c:tx>
          <c:spPr>
            <a:solidFill>
              <a:srgbClr val="802060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'Month S&amp;P'!$A$14:$A$319</c:f>
              <c:strCache>
                <c:ptCount val="301"/>
                <c:pt idx="0">
                  <c:v>Dec-88</c:v>
                </c:pt>
                <c:pt idx="1">
                  <c:v>Jan-89</c:v>
                </c:pt>
                <c:pt idx="2">
                  <c:v>Feb-89</c:v>
                </c:pt>
                <c:pt idx="3">
                  <c:v>Mar-89</c:v>
                </c:pt>
                <c:pt idx="4">
                  <c:v>Apr-89</c:v>
                </c:pt>
                <c:pt idx="5">
                  <c:v>May-89</c:v>
                </c:pt>
                <c:pt idx="6">
                  <c:v>Jun-89</c:v>
                </c:pt>
                <c:pt idx="7">
                  <c:v>Jul-89</c:v>
                </c:pt>
                <c:pt idx="8">
                  <c:v>Aug-89</c:v>
                </c:pt>
                <c:pt idx="9">
                  <c:v>Sep-89</c:v>
                </c:pt>
                <c:pt idx="10">
                  <c:v>Oct-89</c:v>
                </c:pt>
                <c:pt idx="11">
                  <c:v>Nov-89</c:v>
                </c:pt>
                <c:pt idx="12">
                  <c:v>Dec-89</c:v>
                </c:pt>
                <c:pt idx="13">
                  <c:v>Jan-90</c:v>
                </c:pt>
                <c:pt idx="14">
                  <c:v>Feb-90</c:v>
                </c:pt>
                <c:pt idx="15">
                  <c:v>Mar-90</c:v>
                </c:pt>
                <c:pt idx="16">
                  <c:v>Apr-90</c:v>
                </c:pt>
                <c:pt idx="17">
                  <c:v>May-90</c:v>
                </c:pt>
                <c:pt idx="18">
                  <c:v>Jun-90</c:v>
                </c:pt>
                <c:pt idx="19">
                  <c:v>Jul-90</c:v>
                </c:pt>
                <c:pt idx="20">
                  <c:v>Aug-90</c:v>
                </c:pt>
                <c:pt idx="21">
                  <c:v>Sep-90</c:v>
                </c:pt>
                <c:pt idx="22">
                  <c:v>Oct-90</c:v>
                </c:pt>
                <c:pt idx="23">
                  <c:v>Nov-90</c:v>
                </c:pt>
                <c:pt idx="24">
                  <c:v>Dec-90</c:v>
                </c:pt>
                <c:pt idx="25">
                  <c:v>Jan-91</c:v>
                </c:pt>
                <c:pt idx="26">
                  <c:v>Feb-91</c:v>
                </c:pt>
                <c:pt idx="27">
                  <c:v>Mar-91</c:v>
                </c:pt>
                <c:pt idx="28">
                  <c:v>Apr-91</c:v>
                </c:pt>
                <c:pt idx="29">
                  <c:v>May-91</c:v>
                </c:pt>
                <c:pt idx="30">
                  <c:v>Jun-91</c:v>
                </c:pt>
                <c:pt idx="31">
                  <c:v>Jul-91</c:v>
                </c:pt>
                <c:pt idx="32">
                  <c:v>Aug-91</c:v>
                </c:pt>
                <c:pt idx="33">
                  <c:v>Sep-91</c:v>
                </c:pt>
                <c:pt idx="34">
                  <c:v>Oct-91</c:v>
                </c:pt>
                <c:pt idx="35">
                  <c:v>Nov-91</c:v>
                </c:pt>
                <c:pt idx="36">
                  <c:v>Dec-91</c:v>
                </c:pt>
                <c:pt idx="37">
                  <c:v>Jan-92</c:v>
                </c:pt>
                <c:pt idx="38">
                  <c:v>Feb-92</c:v>
                </c:pt>
                <c:pt idx="39">
                  <c:v>Mar-92</c:v>
                </c:pt>
                <c:pt idx="40">
                  <c:v>Apr-92</c:v>
                </c:pt>
                <c:pt idx="41">
                  <c:v>May-92</c:v>
                </c:pt>
                <c:pt idx="42">
                  <c:v>Jun-92</c:v>
                </c:pt>
                <c:pt idx="43">
                  <c:v>Jul-92</c:v>
                </c:pt>
                <c:pt idx="44">
                  <c:v>Aug-92</c:v>
                </c:pt>
                <c:pt idx="45">
                  <c:v>Sep-92</c:v>
                </c:pt>
                <c:pt idx="46">
                  <c:v>Oct-92</c:v>
                </c:pt>
                <c:pt idx="47">
                  <c:v>Nov-92</c:v>
                </c:pt>
                <c:pt idx="48">
                  <c:v>Dec-92</c:v>
                </c:pt>
                <c:pt idx="49">
                  <c:v>Jan-93</c:v>
                </c:pt>
                <c:pt idx="50">
                  <c:v>Feb-93</c:v>
                </c:pt>
                <c:pt idx="51">
                  <c:v>Mar-93</c:v>
                </c:pt>
                <c:pt idx="52">
                  <c:v>Apr-93</c:v>
                </c:pt>
                <c:pt idx="53">
                  <c:v>May-93</c:v>
                </c:pt>
                <c:pt idx="54">
                  <c:v>Jun-93</c:v>
                </c:pt>
                <c:pt idx="55">
                  <c:v>Jul-93</c:v>
                </c:pt>
                <c:pt idx="56">
                  <c:v>Aug-93</c:v>
                </c:pt>
                <c:pt idx="57">
                  <c:v>Sep-93</c:v>
                </c:pt>
                <c:pt idx="58">
                  <c:v>Oct-93</c:v>
                </c:pt>
                <c:pt idx="59">
                  <c:v>Nov-93</c:v>
                </c:pt>
                <c:pt idx="60">
                  <c:v>Dec-93</c:v>
                </c:pt>
                <c:pt idx="61">
                  <c:v>Jan-94</c:v>
                </c:pt>
                <c:pt idx="62">
                  <c:v>Feb-94</c:v>
                </c:pt>
                <c:pt idx="63">
                  <c:v>Mar-94</c:v>
                </c:pt>
                <c:pt idx="64">
                  <c:v>Apr-94</c:v>
                </c:pt>
                <c:pt idx="65">
                  <c:v>May-94</c:v>
                </c:pt>
                <c:pt idx="66">
                  <c:v>Jun-94</c:v>
                </c:pt>
                <c:pt idx="67">
                  <c:v>Jul-94</c:v>
                </c:pt>
                <c:pt idx="68">
                  <c:v>Aug-94</c:v>
                </c:pt>
                <c:pt idx="69">
                  <c:v>Sep-94</c:v>
                </c:pt>
                <c:pt idx="70">
                  <c:v>Oct-94</c:v>
                </c:pt>
                <c:pt idx="71">
                  <c:v>Nov-94</c:v>
                </c:pt>
                <c:pt idx="72">
                  <c:v>Dec-94</c:v>
                </c:pt>
                <c:pt idx="73">
                  <c:v>Jan-95</c:v>
                </c:pt>
                <c:pt idx="74">
                  <c:v>Feb-95</c:v>
                </c:pt>
                <c:pt idx="75">
                  <c:v>Mar-95</c:v>
                </c:pt>
                <c:pt idx="76">
                  <c:v>Apr-95</c:v>
                </c:pt>
                <c:pt idx="77">
                  <c:v>May-95</c:v>
                </c:pt>
                <c:pt idx="78">
                  <c:v>Jun-95</c:v>
                </c:pt>
                <c:pt idx="79">
                  <c:v>Jul-95</c:v>
                </c:pt>
                <c:pt idx="80">
                  <c:v>Aug-95</c:v>
                </c:pt>
                <c:pt idx="81">
                  <c:v>Sep-95</c:v>
                </c:pt>
                <c:pt idx="82">
                  <c:v>Oct-95</c:v>
                </c:pt>
                <c:pt idx="83">
                  <c:v>Nov-95</c:v>
                </c:pt>
                <c:pt idx="84">
                  <c:v>Dec-95</c:v>
                </c:pt>
                <c:pt idx="85">
                  <c:v>Jan-96</c:v>
                </c:pt>
                <c:pt idx="86">
                  <c:v>Feb-96</c:v>
                </c:pt>
                <c:pt idx="87">
                  <c:v>Mar-96</c:v>
                </c:pt>
                <c:pt idx="88">
                  <c:v>Apr-96</c:v>
                </c:pt>
                <c:pt idx="89">
                  <c:v> </c:v>
                </c:pt>
                <c:pt idx="90">
                  <c:v>Jun-96</c:v>
                </c:pt>
                <c:pt idx="91">
                  <c:v>Jul-96</c:v>
                </c:pt>
                <c:pt idx="92">
                  <c:v>Aug-96</c:v>
                </c:pt>
                <c:pt idx="93">
                  <c:v>Sep-96</c:v>
                </c:pt>
                <c:pt idx="94">
                  <c:v>Oct-96</c:v>
                </c:pt>
                <c:pt idx="95">
                  <c:v>Nov-96</c:v>
                </c:pt>
                <c:pt idx="96">
                  <c:v>Dec-96</c:v>
                </c:pt>
                <c:pt idx="97">
                  <c:v>Jan-97</c:v>
                </c:pt>
                <c:pt idx="98">
                  <c:v>Feb-97</c:v>
                </c:pt>
                <c:pt idx="99">
                  <c:v>Mar-97</c:v>
                </c:pt>
                <c:pt idx="100">
                  <c:v>Apr-97</c:v>
                </c:pt>
                <c:pt idx="101">
                  <c:v>May-97</c:v>
                </c:pt>
                <c:pt idx="102">
                  <c:v>Jun-97</c:v>
                </c:pt>
                <c:pt idx="103">
                  <c:v>Jul-97</c:v>
                </c:pt>
                <c:pt idx="104">
                  <c:v>Aug-97</c:v>
                </c:pt>
                <c:pt idx="105">
                  <c:v>Sep-97</c:v>
                </c:pt>
                <c:pt idx="106">
                  <c:v>Oct-97</c:v>
                </c:pt>
                <c:pt idx="107">
                  <c:v>Nov-97</c:v>
                </c:pt>
                <c:pt idx="108">
                  <c:v>Dec-97</c:v>
                </c:pt>
                <c:pt idx="109">
                  <c:v>Jan-98</c:v>
                </c:pt>
                <c:pt idx="110">
                  <c:v>Feb-98</c:v>
                </c:pt>
                <c:pt idx="111">
                  <c:v>Mar-98</c:v>
                </c:pt>
                <c:pt idx="112">
                  <c:v>Apr-98</c:v>
                </c:pt>
                <c:pt idx="113">
                  <c:v>May-98</c:v>
                </c:pt>
                <c:pt idx="114">
                  <c:v>Jun-98</c:v>
                </c:pt>
                <c:pt idx="115">
                  <c:v>Jul-98</c:v>
                </c:pt>
                <c:pt idx="116">
                  <c:v>Aug-98</c:v>
                </c:pt>
                <c:pt idx="117">
                  <c:v>Sep-98</c:v>
                </c:pt>
                <c:pt idx="118">
                  <c:v>Oct-98</c:v>
                </c:pt>
                <c:pt idx="119">
                  <c:v>Nov-98</c:v>
                </c:pt>
                <c:pt idx="120">
                  <c:v>Dec-98</c:v>
                </c:pt>
                <c:pt idx="121">
                  <c:v>Jan-99</c:v>
                </c:pt>
                <c:pt idx="122">
                  <c:v>Feb-99</c:v>
                </c:pt>
                <c:pt idx="123">
                  <c:v>Mar-99</c:v>
                </c:pt>
                <c:pt idx="124">
                  <c:v>Apr-99</c:v>
                </c:pt>
                <c:pt idx="125">
                  <c:v>May-99</c:v>
                </c:pt>
                <c:pt idx="126">
                  <c:v>Jun-99</c:v>
                </c:pt>
                <c:pt idx="127">
                  <c:v>Jul-99</c:v>
                </c:pt>
                <c:pt idx="128">
                  <c:v>Aug-99</c:v>
                </c:pt>
                <c:pt idx="129">
                  <c:v>Sep-99</c:v>
                </c:pt>
                <c:pt idx="130">
                  <c:v>Oct-99</c:v>
                </c:pt>
                <c:pt idx="131">
                  <c:v>Nov-99</c:v>
                </c:pt>
                <c:pt idx="132">
                  <c:v>Dec-99</c:v>
                </c:pt>
                <c:pt idx="133">
                  <c:v>Jan-00</c:v>
                </c:pt>
                <c:pt idx="134">
                  <c:v>Feb-00</c:v>
                </c:pt>
                <c:pt idx="135">
                  <c:v>Mar-00</c:v>
                </c:pt>
                <c:pt idx="136">
                  <c:v>Apr-00</c:v>
                </c:pt>
                <c:pt idx="137">
                  <c:v>May-00</c:v>
                </c:pt>
                <c:pt idx="138">
                  <c:v>Jun-00</c:v>
                </c:pt>
                <c:pt idx="139">
                  <c:v>Jul-00</c:v>
                </c:pt>
                <c:pt idx="140">
                  <c:v>Aug-00</c:v>
                </c:pt>
                <c:pt idx="141">
                  <c:v>Sep-00</c:v>
                </c:pt>
                <c:pt idx="142">
                  <c:v>Oct-00</c:v>
                </c:pt>
                <c:pt idx="143">
                  <c:v>Nov-00</c:v>
                </c:pt>
                <c:pt idx="144">
                  <c:v>Dec-00</c:v>
                </c:pt>
                <c:pt idx="145">
                  <c:v>Jan-01</c:v>
                </c:pt>
                <c:pt idx="146">
                  <c:v>Feb-01</c:v>
                </c:pt>
                <c:pt idx="147">
                  <c:v>Mar-01</c:v>
                </c:pt>
                <c:pt idx="148">
                  <c:v>Apr-01</c:v>
                </c:pt>
                <c:pt idx="149">
                  <c:v>May-01</c:v>
                </c:pt>
                <c:pt idx="150">
                  <c:v>Jun-01</c:v>
                </c:pt>
                <c:pt idx="151">
                  <c:v>Jul-01</c:v>
                </c:pt>
                <c:pt idx="152">
                  <c:v>Aug-01</c:v>
                </c:pt>
                <c:pt idx="153">
                  <c:v>Sep-01</c:v>
                </c:pt>
                <c:pt idx="154">
                  <c:v>Oct-01</c:v>
                </c:pt>
                <c:pt idx="155">
                  <c:v>Nov-01</c:v>
                </c:pt>
                <c:pt idx="156">
                  <c:v>Dec-01</c:v>
                </c:pt>
                <c:pt idx="157">
                  <c:v>Jan-02</c:v>
                </c:pt>
                <c:pt idx="158">
                  <c:v>Feb-02</c:v>
                </c:pt>
                <c:pt idx="159">
                  <c:v>Mar-02</c:v>
                </c:pt>
                <c:pt idx="160">
                  <c:v>Apr-02</c:v>
                </c:pt>
                <c:pt idx="161">
                  <c:v>May-02</c:v>
                </c:pt>
                <c:pt idx="162">
                  <c:v>Jun-02</c:v>
                </c:pt>
                <c:pt idx="163">
                  <c:v>Jul-02</c:v>
                </c:pt>
                <c:pt idx="164">
                  <c:v>Aug-02</c:v>
                </c:pt>
                <c:pt idx="165">
                  <c:v>Sep-02</c:v>
                </c:pt>
                <c:pt idx="166">
                  <c:v>Oct-02</c:v>
                </c:pt>
                <c:pt idx="167">
                  <c:v>Nov-02</c:v>
                </c:pt>
                <c:pt idx="168">
                  <c:v>Dec-02</c:v>
                </c:pt>
                <c:pt idx="169">
                  <c:v>Jan-03</c:v>
                </c:pt>
                <c:pt idx="170">
                  <c:v>Feb-03</c:v>
                </c:pt>
                <c:pt idx="171">
                  <c:v>Mar-03</c:v>
                </c:pt>
                <c:pt idx="172">
                  <c:v>Apr-03</c:v>
                </c:pt>
                <c:pt idx="173">
                  <c:v>May-03</c:v>
                </c:pt>
                <c:pt idx="174">
                  <c:v>Jun-03</c:v>
                </c:pt>
                <c:pt idx="175">
                  <c:v>Jul-03</c:v>
                </c:pt>
                <c:pt idx="176">
                  <c:v>Aug-03</c:v>
                </c:pt>
                <c:pt idx="177">
                  <c:v>Sep-03</c:v>
                </c:pt>
                <c:pt idx="178">
                  <c:v>Oct-03</c:v>
                </c:pt>
                <c:pt idx="179">
                  <c:v>Nov-03</c:v>
                </c:pt>
                <c:pt idx="180">
                  <c:v>Dec-03</c:v>
                </c:pt>
                <c:pt idx="181">
                  <c:v>Jan-04</c:v>
                </c:pt>
                <c:pt idx="182">
                  <c:v>Feb-04</c:v>
                </c:pt>
                <c:pt idx="183">
                  <c:v>Mar-04</c:v>
                </c:pt>
                <c:pt idx="184">
                  <c:v>Apr-04</c:v>
                </c:pt>
                <c:pt idx="185">
                  <c:v>May-04</c:v>
                </c:pt>
                <c:pt idx="186">
                  <c:v>Jun-04</c:v>
                </c:pt>
                <c:pt idx="187">
                  <c:v>Jul-04</c:v>
                </c:pt>
                <c:pt idx="188">
                  <c:v>Aug-04</c:v>
                </c:pt>
                <c:pt idx="189">
                  <c:v>Sep-04</c:v>
                </c:pt>
                <c:pt idx="190">
                  <c:v>Oct-04</c:v>
                </c:pt>
                <c:pt idx="191">
                  <c:v>Nov-04</c:v>
                </c:pt>
                <c:pt idx="192">
                  <c:v>Dec-04</c:v>
                </c:pt>
                <c:pt idx="193">
                  <c:v>Jan-05</c:v>
                </c:pt>
                <c:pt idx="194">
                  <c:v>Feb-05</c:v>
                </c:pt>
                <c:pt idx="195">
                  <c:v>Mar-05</c:v>
                </c:pt>
                <c:pt idx="196">
                  <c:v>Apr-05</c:v>
                </c:pt>
                <c:pt idx="197">
                  <c:v>May-05</c:v>
                </c:pt>
                <c:pt idx="198">
                  <c:v>Jun-05</c:v>
                </c:pt>
                <c:pt idx="199">
                  <c:v>Jul-05</c:v>
                </c:pt>
                <c:pt idx="200">
                  <c:v>Aug-05</c:v>
                </c:pt>
                <c:pt idx="201">
                  <c:v>Sep-05</c:v>
                </c:pt>
                <c:pt idx="202">
                  <c:v>Oct-05</c:v>
                </c:pt>
                <c:pt idx="203">
                  <c:v>Nov-05</c:v>
                </c:pt>
                <c:pt idx="204">
                  <c:v>Dec-05</c:v>
                </c:pt>
                <c:pt idx="205">
                  <c:v>Jan-06</c:v>
                </c:pt>
                <c:pt idx="206">
                  <c:v>Feb-06</c:v>
                </c:pt>
                <c:pt idx="207">
                  <c:v>Mar-06</c:v>
                </c:pt>
                <c:pt idx="208">
                  <c:v>Apr-06</c:v>
                </c:pt>
                <c:pt idx="209">
                  <c:v>May-06</c:v>
                </c:pt>
                <c:pt idx="210">
                  <c:v>Jun-06</c:v>
                </c:pt>
                <c:pt idx="211">
                  <c:v>Jul-06</c:v>
                </c:pt>
                <c:pt idx="212">
                  <c:v>Aug-06</c:v>
                </c:pt>
                <c:pt idx="213">
                  <c:v>Sep-06</c:v>
                </c:pt>
                <c:pt idx="214">
                  <c:v>Oct-06</c:v>
                </c:pt>
                <c:pt idx="215">
                  <c:v>Nov-06</c:v>
                </c:pt>
                <c:pt idx="216">
                  <c:v>Dec-06</c:v>
                </c:pt>
                <c:pt idx="217">
                  <c:v>Jan-07</c:v>
                </c:pt>
                <c:pt idx="218">
                  <c:v>Feb-07</c:v>
                </c:pt>
                <c:pt idx="219">
                  <c:v>Mar-07</c:v>
                </c:pt>
                <c:pt idx="220">
                  <c:v>Apr-07</c:v>
                </c:pt>
                <c:pt idx="221">
                  <c:v>May-07</c:v>
                </c:pt>
                <c:pt idx="222">
                  <c:v>Jun-07</c:v>
                </c:pt>
                <c:pt idx="223">
                  <c:v>Jul-07</c:v>
                </c:pt>
                <c:pt idx="224">
                  <c:v>Aug-07</c:v>
                </c:pt>
                <c:pt idx="225">
                  <c:v>Sep-07</c:v>
                </c:pt>
                <c:pt idx="226">
                  <c:v>Oct-07</c:v>
                </c:pt>
                <c:pt idx="227">
                  <c:v>Nov-07</c:v>
                </c:pt>
                <c:pt idx="228">
                  <c:v>Dec-07</c:v>
                </c:pt>
                <c:pt idx="229">
                  <c:v>Jan-08</c:v>
                </c:pt>
                <c:pt idx="230">
                  <c:v>Feb-08</c:v>
                </c:pt>
                <c:pt idx="231">
                  <c:v>Mar-08</c:v>
                </c:pt>
                <c:pt idx="232">
                  <c:v>Apr-08</c:v>
                </c:pt>
                <c:pt idx="233">
                  <c:v>May-08</c:v>
                </c:pt>
                <c:pt idx="234">
                  <c:v>Jun-08</c:v>
                </c:pt>
                <c:pt idx="235">
                  <c:v>Jul-08</c:v>
                </c:pt>
                <c:pt idx="236">
                  <c:v>Aug-08</c:v>
                </c:pt>
                <c:pt idx="237">
                  <c:v>Sep-08</c:v>
                </c:pt>
                <c:pt idx="238">
                  <c:v>Oct-08</c:v>
                </c:pt>
                <c:pt idx="239">
                  <c:v>Nov-08</c:v>
                </c:pt>
                <c:pt idx="240">
                  <c:v>Dec-08</c:v>
                </c:pt>
                <c:pt idx="241">
                  <c:v>Jan-09</c:v>
                </c:pt>
                <c:pt idx="242">
                  <c:v>Feb-09</c:v>
                </c:pt>
                <c:pt idx="243">
                  <c:v>Mar-09</c:v>
                </c:pt>
                <c:pt idx="244">
                  <c:v>Apr-09</c:v>
                </c:pt>
                <c:pt idx="245">
                  <c:v>May-09</c:v>
                </c:pt>
                <c:pt idx="246">
                  <c:v>Jun-09</c:v>
                </c:pt>
                <c:pt idx="247">
                  <c:v>Jul-09</c:v>
                </c:pt>
                <c:pt idx="248">
                  <c:v>Aug-09</c:v>
                </c:pt>
                <c:pt idx="249">
                  <c:v>Sep-09</c:v>
                </c:pt>
                <c:pt idx="250">
                  <c:v>Oct-09</c:v>
                </c:pt>
                <c:pt idx="251">
                  <c:v>Nov-09</c:v>
                </c:pt>
                <c:pt idx="252">
                  <c:v>Dec-09</c:v>
                </c:pt>
                <c:pt idx="253">
                  <c:v>Jan-10</c:v>
                </c:pt>
                <c:pt idx="254">
                  <c:v>Feb-10</c:v>
                </c:pt>
                <c:pt idx="255">
                  <c:v>Mar-10</c:v>
                </c:pt>
                <c:pt idx="256">
                  <c:v>Apr-10</c:v>
                </c:pt>
                <c:pt idx="257">
                  <c:v>May-10</c:v>
                </c:pt>
                <c:pt idx="258">
                  <c:v>Jun-10</c:v>
                </c:pt>
                <c:pt idx="259">
                  <c:v>Jul-10</c:v>
                </c:pt>
                <c:pt idx="260">
                  <c:v>Aug-10</c:v>
                </c:pt>
                <c:pt idx="261">
                  <c:v>Sep-10</c:v>
                </c:pt>
                <c:pt idx="262">
                  <c:v>Oct-10</c:v>
                </c:pt>
                <c:pt idx="263">
                  <c:v>Nov-10</c:v>
                </c:pt>
                <c:pt idx="264">
                  <c:v>Dec-10</c:v>
                </c:pt>
                <c:pt idx="265">
                  <c:v>Jan-11</c:v>
                </c:pt>
                <c:pt idx="266">
                  <c:v>Feb-11</c:v>
                </c:pt>
                <c:pt idx="267">
                  <c:v>Mar-11</c:v>
                </c:pt>
                <c:pt idx="268">
                  <c:v>Apr-11</c:v>
                </c:pt>
                <c:pt idx="269">
                  <c:v>May-11</c:v>
                </c:pt>
                <c:pt idx="270">
                  <c:v>Jun-11</c:v>
                </c:pt>
                <c:pt idx="271">
                  <c:v>Jul-11</c:v>
                </c:pt>
                <c:pt idx="272">
                  <c:v>Aug-11</c:v>
                </c:pt>
                <c:pt idx="273">
                  <c:v>Sep-11</c:v>
                </c:pt>
                <c:pt idx="274">
                  <c:v>Oct-11</c:v>
                </c:pt>
                <c:pt idx="275">
                  <c:v>Nov-11</c:v>
                </c:pt>
                <c:pt idx="276">
                  <c:v>Dec-11</c:v>
                </c:pt>
                <c:pt idx="277">
                  <c:v>Jan-12</c:v>
                </c:pt>
                <c:pt idx="278">
                  <c:v>Feb-12</c:v>
                </c:pt>
                <c:pt idx="279">
                  <c:v>Mar-12</c:v>
                </c:pt>
                <c:pt idx="280">
                  <c:v>Apr-12</c:v>
                </c:pt>
                <c:pt idx="281">
                  <c:v>May-12</c:v>
                </c:pt>
                <c:pt idx="282">
                  <c:v>Jun-12</c:v>
                </c:pt>
                <c:pt idx="283">
                  <c:v>Jul-12</c:v>
                </c:pt>
                <c:pt idx="284">
                  <c:v>Aug-12</c:v>
                </c:pt>
                <c:pt idx="285">
                  <c:v>Sep-12</c:v>
                </c:pt>
                <c:pt idx="286">
                  <c:v>Oct-12</c:v>
                </c:pt>
                <c:pt idx="287">
                  <c:v>Nov-12</c:v>
                </c:pt>
                <c:pt idx="288">
                  <c:v>Dec-12</c:v>
                </c:pt>
                <c:pt idx="289">
                  <c:v>Jan-13</c:v>
                </c:pt>
                <c:pt idx="290">
                  <c:v>Feb-13</c:v>
                </c:pt>
                <c:pt idx="291">
                  <c:v>Mar-13</c:v>
                </c:pt>
                <c:pt idx="292">
                  <c:v>Apr-13</c:v>
                </c:pt>
                <c:pt idx="293">
                  <c:v>May-13</c:v>
                </c:pt>
                <c:pt idx="294">
                  <c:v>Jun-13</c:v>
                </c:pt>
                <c:pt idx="295">
                  <c:v>Jul-13</c:v>
                </c:pt>
                <c:pt idx="296">
                  <c:v>Aug-13</c:v>
                </c:pt>
                <c:pt idx="297">
                  <c:v>Sep-13</c:v>
                </c:pt>
                <c:pt idx="298">
                  <c:v>Oct-13</c:v>
                </c:pt>
                <c:pt idx="299">
                  <c:v>Nov-13</c:v>
                </c:pt>
                <c:pt idx="300">
                  <c:v>Dec-13</c:v>
                </c:pt>
              </c:strCache>
            </c:strRef>
          </c:cat>
          <c:val>
            <c:numRef>
              <c:f>'Month S&amp;P'!$K$15:$K$319</c:f>
              <c:numCache>
                <c:formatCode>#,##0_);[Red]\(#,##0\)</c:formatCode>
                <c:ptCount val="305"/>
                <c:pt idx="1">
                  <c:v>-307764.0</c:v>
                </c:pt>
                <c:pt idx="13">
                  <c:v>-2926.0</c:v>
                </c:pt>
                <c:pt idx="25">
                  <c:v>-425839.0</c:v>
                </c:pt>
                <c:pt idx="37">
                  <c:v>159704.0</c:v>
                </c:pt>
                <c:pt idx="49">
                  <c:v>-550446.0</c:v>
                </c:pt>
                <c:pt idx="61">
                  <c:v>-421417.02</c:v>
                </c:pt>
                <c:pt idx="73">
                  <c:v>-354761.444</c:v>
                </c:pt>
                <c:pt idx="85">
                  <c:v>-246304.608</c:v>
                </c:pt>
                <c:pt idx="97">
                  <c:v>253890.208</c:v>
                </c:pt>
                <c:pt idx="109">
                  <c:v>-68546.99</c:v>
                </c:pt>
                <c:pt idx="121">
                  <c:v>161839.0</c:v>
                </c:pt>
                <c:pt idx="133">
                  <c:v>187834.0</c:v>
                </c:pt>
                <c:pt idx="145">
                  <c:v>366969.0</c:v>
                </c:pt>
                <c:pt idx="157">
                  <c:v>-217326.0</c:v>
                </c:pt>
                <c:pt idx="169">
                  <c:v>-220716.0</c:v>
                </c:pt>
                <c:pt idx="181">
                  <c:v>-553259.0</c:v>
                </c:pt>
                <c:pt idx="193">
                  <c:v>-775954.0</c:v>
                </c:pt>
                <c:pt idx="205">
                  <c:v>-111656.0</c:v>
                </c:pt>
                <c:pt idx="217">
                  <c:v>-707939.0</c:v>
                </c:pt>
                <c:pt idx="229">
                  <c:v>185692.0</c:v>
                </c:pt>
                <c:pt idx="241">
                  <c:v>-181073.0</c:v>
                </c:pt>
                <c:pt idx="253">
                  <c:v>-842796.0</c:v>
                </c:pt>
                <c:pt idx="265">
                  <c:v>110692.0</c:v>
                </c:pt>
                <c:pt idx="303" formatCode="General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48913832"/>
        <c:axId val="-2048910536"/>
      </c:barChart>
      <c:catAx>
        <c:axId val="-2048913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-2500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910536"/>
        <c:crosses val="autoZero"/>
        <c:auto val="0"/>
        <c:lblAlgn val="ctr"/>
        <c:lblOffset val="100"/>
        <c:tickLblSkip val="12"/>
        <c:tickMarkSkip val="2"/>
        <c:noMultiLvlLbl val="0"/>
      </c:catAx>
      <c:valAx>
        <c:axId val="-2048910536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FFFFFF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913832"/>
        <c:crosses val="autoZero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81847" mc:Ignorable="a14" a14:legacySpreadsheetColorIndex="62">
                <a:gamma/>
                <a:shade val="46275"/>
                <a:invGamma/>
                <a:alpha val="33000"/>
              </a:srgbClr>
            </a:gs>
            <a:gs pos="50000">
              <a:srgbClr xmlns:mc="http://schemas.openxmlformats.org/markup-compatibility/2006" xmlns:a14="http://schemas.microsoft.com/office/drawing/2010/main" val="333399" mc:Ignorable="a14" a14:legacySpreadsheetColorIndex="62">
                <a:alpha val="33000"/>
              </a:srgbClr>
            </a:gs>
            <a:gs pos="100000">
              <a:srgbClr xmlns:mc="http://schemas.openxmlformats.org/markup-compatibility/2006" xmlns:a14="http://schemas.microsoft.com/office/drawing/2010/main" val="181847" mc:Ignorable="a14" a14:legacySpreadsheetColorIndex="62">
                <a:gamma/>
                <a:shade val="46275"/>
                <a:invGamma/>
                <a:alpha val="33000"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Sales Growth</a:t>
            </a:r>
          </a:p>
        </c:rich>
      </c:tx>
      <c:layout>
        <c:manualLayout>
          <c:xMode val="edge"/>
          <c:yMode val="edge"/>
          <c:x val="0.41037037037037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77777777777778"/>
          <c:y val="0.193899782135076"/>
          <c:w val="0.797037037037037"/>
          <c:h val="0.7603485838779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381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'Month S&amp;P'!$A$26:$A$280</c:f>
              <c:strCache>
                <c:ptCount val="255"/>
                <c:pt idx="0">
                  <c:v>Dec-89</c:v>
                </c:pt>
                <c:pt idx="1">
                  <c:v>Jan-90</c:v>
                </c:pt>
                <c:pt idx="2">
                  <c:v>Feb-90</c:v>
                </c:pt>
                <c:pt idx="3">
                  <c:v>Mar-90</c:v>
                </c:pt>
                <c:pt idx="4">
                  <c:v>Apr-90</c:v>
                </c:pt>
                <c:pt idx="5">
                  <c:v>May-90</c:v>
                </c:pt>
                <c:pt idx="6">
                  <c:v>Jun-90</c:v>
                </c:pt>
                <c:pt idx="7">
                  <c:v>Jul-90</c:v>
                </c:pt>
                <c:pt idx="8">
                  <c:v>Aug-90</c:v>
                </c:pt>
                <c:pt idx="9">
                  <c:v>Sep-90</c:v>
                </c:pt>
                <c:pt idx="10">
                  <c:v>Oct-90</c:v>
                </c:pt>
                <c:pt idx="11">
                  <c:v>Nov-90</c:v>
                </c:pt>
                <c:pt idx="12">
                  <c:v>Dec-90</c:v>
                </c:pt>
                <c:pt idx="13">
                  <c:v>Jan-91</c:v>
                </c:pt>
                <c:pt idx="14">
                  <c:v>Feb-91</c:v>
                </c:pt>
                <c:pt idx="15">
                  <c:v>Mar-91</c:v>
                </c:pt>
                <c:pt idx="16">
                  <c:v>Apr-91</c:v>
                </c:pt>
                <c:pt idx="17">
                  <c:v>May-91</c:v>
                </c:pt>
                <c:pt idx="18">
                  <c:v>Jun-91</c:v>
                </c:pt>
                <c:pt idx="19">
                  <c:v>Jul-91</c:v>
                </c:pt>
                <c:pt idx="20">
                  <c:v>Aug-91</c:v>
                </c:pt>
                <c:pt idx="21">
                  <c:v>Sep-91</c:v>
                </c:pt>
                <c:pt idx="22">
                  <c:v>Oct-91</c:v>
                </c:pt>
                <c:pt idx="23">
                  <c:v>Nov-91</c:v>
                </c:pt>
                <c:pt idx="24">
                  <c:v>Dec-91</c:v>
                </c:pt>
                <c:pt idx="25">
                  <c:v>Jan-92</c:v>
                </c:pt>
                <c:pt idx="26">
                  <c:v>Feb-92</c:v>
                </c:pt>
                <c:pt idx="27">
                  <c:v>Mar-92</c:v>
                </c:pt>
                <c:pt idx="28">
                  <c:v>Apr-92</c:v>
                </c:pt>
                <c:pt idx="29">
                  <c:v>May-92</c:v>
                </c:pt>
                <c:pt idx="30">
                  <c:v>Jun-92</c:v>
                </c:pt>
                <c:pt idx="31">
                  <c:v>Jul-92</c:v>
                </c:pt>
                <c:pt idx="32">
                  <c:v>Aug-92</c:v>
                </c:pt>
                <c:pt idx="33">
                  <c:v>Sep-92</c:v>
                </c:pt>
                <c:pt idx="34">
                  <c:v>Oct-92</c:v>
                </c:pt>
                <c:pt idx="35">
                  <c:v>Nov-92</c:v>
                </c:pt>
                <c:pt idx="36">
                  <c:v>Dec-92</c:v>
                </c:pt>
                <c:pt idx="37">
                  <c:v>Jan-93</c:v>
                </c:pt>
                <c:pt idx="38">
                  <c:v>Feb-93</c:v>
                </c:pt>
                <c:pt idx="39">
                  <c:v>Mar-93</c:v>
                </c:pt>
                <c:pt idx="40">
                  <c:v>Apr-93</c:v>
                </c:pt>
                <c:pt idx="41">
                  <c:v>May-93</c:v>
                </c:pt>
                <c:pt idx="42">
                  <c:v>Jun-93</c:v>
                </c:pt>
                <c:pt idx="43">
                  <c:v>Jul-93</c:v>
                </c:pt>
                <c:pt idx="44">
                  <c:v>Aug-93</c:v>
                </c:pt>
                <c:pt idx="45">
                  <c:v>Sep-93</c:v>
                </c:pt>
                <c:pt idx="46">
                  <c:v>Oct-93</c:v>
                </c:pt>
                <c:pt idx="47">
                  <c:v>Nov-93</c:v>
                </c:pt>
                <c:pt idx="48">
                  <c:v>Dec-93</c:v>
                </c:pt>
                <c:pt idx="49">
                  <c:v>Jan-94</c:v>
                </c:pt>
                <c:pt idx="50">
                  <c:v>Feb-94</c:v>
                </c:pt>
                <c:pt idx="51">
                  <c:v>Mar-94</c:v>
                </c:pt>
                <c:pt idx="52">
                  <c:v>Apr-94</c:v>
                </c:pt>
                <c:pt idx="53">
                  <c:v>May-94</c:v>
                </c:pt>
                <c:pt idx="54">
                  <c:v>Jun-94</c:v>
                </c:pt>
                <c:pt idx="55">
                  <c:v>Jul-94</c:v>
                </c:pt>
                <c:pt idx="56">
                  <c:v>Aug-94</c:v>
                </c:pt>
                <c:pt idx="57">
                  <c:v>Sep-94</c:v>
                </c:pt>
                <c:pt idx="58">
                  <c:v>Oct-94</c:v>
                </c:pt>
                <c:pt idx="59">
                  <c:v>Nov-94</c:v>
                </c:pt>
                <c:pt idx="60">
                  <c:v>Dec-94</c:v>
                </c:pt>
                <c:pt idx="61">
                  <c:v>Jan-95</c:v>
                </c:pt>
                <c:pt idx="62">
                  <c:v>Feb-95</c:v>
                </c:pt>
                <c:pt idx="63">
                  <c:v>Mar-95</c:v>
                </c:pt>
                <c:pt idx="64">
                  <c:v>Apr-95</c:v>
                </c:pt>
                <c:pt idx="65">
                  <c:v>May-95</c:v>
                </c:pt>
                <c:pt idx="66">
                  <c:v>Jun-95</c:v>
                </c:pt>
                <c:pt idx="67">
                  <c:v>Jul-95</c:v>
                </c:pt>
                <c:pt idx="68">
                  <c:v>Aug-95</c:v>
                </c:pt>
                <c:pt idx="69">
                  <c:v>Sep-95</c:v>
                </c:pt>
                <c:pt idx="70">
                  <c:v>Oct-95</c:v>
                </c:pt>
                <c:pt idx="71">
                  <c:v>Nov-95</c:v>
                </c:pt>
                <c:pt idx="72">
                  <c:v>Dec-95</c:v>
                </c:pt>
                <c:pt idx="73">
                  <c:v>Jan-96</c:v>
                </c:pt>
                <c:pt idx="74">
                  <c:v>Feb-96</c:v>
                </c:pt>
                <c:pt idx="75">
                  <c:v>Mar-96</c:v>
                </c:pt>
                <c:pt idx="76">
                  <c:v>Apr-96</c:v>
                </c:pt>
                <c:pt idx="77">
                  <c:v> </c:v>
                </c:pt>
                <c:pt idx="78">
                  <c:v>Jun-96</c:v>
                </c:pt>
                <c:pt idx="79">
                  <c:v>Jul-96</c:v>
                </c:pt>
                <c:pt idx="80">
                  <c:v>Aug-96</c:v>
                </c:pt>
                <c:pt idx="81">
                  <c:v>Sep-96</c:v>
                </c:pt>
                <c:pt idx="82">
                  <c:v>Oct-96</c:v>
                </c:pt>
                <c:pt idx="83">
                  <c:v>Nov-96</c:v>
                </c:pt>
                <c:pt idx="84">
                  <c:v>Dec-96</c:v>
                </c:pt>
                <c:pt idx="85">
                  <c:v>Jan-97</c:v>
                </c:pt>
                <c:pt idx="86">
                  <c:v>Feb-97</c:v>
                </c:pt>
                <c:pt idx="87">
                  <c:v>Mar-97</c:v>
                </c:pt>
                <c:pt idx="88">
                  <c:v>Apr-97</c:v>
                </c:pt>
                <c:pt idx="89">
                  <c:v>May-97</c:v>
                </c:pt>
                <c:pt idx="90">
                  <c:v>Jun-97</c:v>
                </c:pt>
                <c:pt idx="91">
                  <c:v>Jul-97</c:v>
                </c:pt>
                <c:pt idx="92">
                  <c:v>Aug-97</c:v>
                </c:pt>
                <c:pt idx="93">
                  <c:v>Sep-97</c:v>
                </c:pt>
                <c:pt idx="94">
                  <c:v>Oct-97</c:v>
                </c:pt>
                <c:pt idx="95">
                  <c:v>Nov-97</c:v>
                </c:pt>
                <c:pt idx="96">
                  <c:v>Dec-97</c:v>
                </c:pt>
                <c:pt idx="97">
                  <c:v>Jan-98</c:v>
                </c:pt>
                <c:pt idx="98">
                  <c:v>Feb-98</c:v>
                </c:pt>
                <c:pt idx="99">
                  <c:v>Mar-98</c:v>
                </c:pt>
                <c:pt idx="100">
                  <c:v>Apr-98</c:v>
                </c:pt>
                <c:pt idx="101">
                  <c:v>May-98</c:v>
                </c:pt>
                <c:pt idx="102">
                  <c:v>Jun-98</c:v>
                </c:pt>
                <c:pt idx="103">
                  <c:v>Jul-98</c:v>
                </c:pt>
                <c:pt idx="104">
                  <c:v>Aug-98</c:v>
                </c:pt>
                <c:pt idx="105">
                  <c:v>Sep-98</c:v>
                </c:pt>
                <c:pt idx="106">
                  <c:v>Oct-98</c:v>
                </c:pt>
                <c:pt idx="107">
                  <c:v>Nov-98</c:v>
                </c:pt>
                <c:pt idx="108">
                  <c:v>Dec-98</c:v>
                </c:pt>
                <c:pt idx="109">
                  <c:v>Jan-99</c:v>
                </c:pt>
                <c:pt idx="110">
                  <c:v>Feb-99</c:v>
                </c:pt>
                <c:pt idx="111">
                  <c:v>Mar-99</c:v>
                </c:pt>
                <c:pt idx="112">
                  <c:v>Apr-99</c:v>
                </c:pt>
                <c:pt idx="113">
                  <c:v>May-99</c:v>
                </c:pt>
                <c:pt idx="114">
                  <c:v>Jun-99</c:v>
                </c:pt>
                <c:pt idx="115">
                  <c:v>Jul-99</c:v>
                </c:pt>
                <c:pt idx="116">
                  <c:v>Aug-99</c:v>
                </c:pt>
                <c:pt idx="117">
                  <c:v>Sep-99</c:v>
                </c:pt>
                <c:pt idx="118">
                  <c:v>Oct-99</c:v>
                </c:pt>
                <c:pt idx="119">
                  <c:v>Nov-99</c:v>
                </c:pt>
                <c:pt idx="120">
                  <c:v>Dec-99</c:v>
                </c:pt>
                <c:pt idx="121">
                  <c:v>Jan-00</c:v>
                </c:pt>
                <c:pt idx="122">
                  <c:v>Feb-00</c:v>
                </c:pt>
                <c:pt idx="123">
                  <c:v>Mar-00</c:v>
                </c:pt>
                <c:pt idx="124">
                  <c:v>Apr-00</c:v>
                </c:pt>
                <c:pt idx="125">
                  <c:v>May-00</c:v>
                </c:pt>
                <c:pt idx="126">
                  <c:v>Jun-00</c:v>
                </c:pt>
                <c:pt idx="127">
                  <c:v>Jul-00</c:v>
                </c:pt>
                <c:pt idx="128">
                  <c:v>Aug-00</c:v>
                </c:pt>
                <c:pt idx="129">
                  <c:v>Sep-00</c:v>
                </c:pt>
                <c:pt idx="130">
                  <c:v>Oct-00</c:v>
                </c:pt>
                <c:pt idx="131">
                  <c:v>Nov-00</c:v>
                </c:pt>
                <c:pt idx="132">
                  <c:v>Dec-00</c:v>
                </c:pt>
                <c:pt idx="133">
                  <c:v>Jan-01</c:v>
                </c:pt>
                <c:pt idx="134">
                  <c:v>Feb-01</c:v>
                </c:pt>
                <c:pt idx="135">
                  <c:v>Mar-01</c:v>
                </c:pt>
                <c:pt idx="136">
                  <c:v>Apr-01</c:v>
                </c:pt>
                <c:pt idx="137">
                  <c:v>May-01</c:v>
                </c:pt>
                <c:pt idx="138">
                  <c:v>Jun-01</c:v>
                </c:pt>
                <c:pt idx="139">
                  <c:v>Jul-01</c:v>
                </c:pt>
                <c:pt idx="140">
                  <c:v>Aug-01</c:v>
                </c:pt>
                <c:pt idx="141">
                  <c:v>Sep-01</c:v>
                </c:pt>
                <c:pt idx="142">
                  <c:v>Oct-01</c:v>
                </c:pt>
                <c:pt idx="143">
                  <c:v>Nov-01</c:v>
                </c:pt>
                <c:pt idx="144">
                  <c:v>Dec-01</c:v>
                </c:pt>
                <c:pt idx="145">
                  <c:v>Jan-02</c:v>
                </c:pt>
                <c:pt idx="146">
                  <c:v>Feb-02</c:v>
                </c:pt>
                <c:pt idx="147">
                  <c:v>Mar-02</c:v>
                </c:pt>
                <c:pt idx="148">
                  <c:v>Apr-02</c:v>
                </c:pt>
                <c:pt idx="149">
                  <c:v>May-02</c:v>
                </c:pt>
                <c:pt idx="150">
                  <c:v>Jun-02</c:v>
                </c:pt>
                <c:pt idx="151">
                  <c:v>Jul-02</c:v>
                </c:pt>
                <c:pt idx="152">
                  <c:v>Aug-02</c:v>
                </c:pt>
                <c:pt idx="153">
                  <c:v>Sep-02</c:v>
                </c:pt>
                <c:pt idx="154">
                  <c:v>Oct-02</c:v>
                </c:pt>
                <c:pt idx="155">
                  <c:v>Nov-02</c:v>
                </c:pt>
                <c:pt idx="156">
                  <c:v>Dec-02</c:v>
                </c:pt>
                <c:pt idx="157">
                  <c:v>Jan-03</c:v>
                </c:pt>
                <c:pt idx="158">
                  <c:v>Feb-03</c:v>
                </c:pt>
                <c:pt idx="159">
                  <c:v>Mar-03</c:v>
                </c:pt>
                <c:pt idx="160">
                  <c:v>Apr-03</c:v>
                </c:pt>
                <c:pt idx="161">
                  <c:v>May-03</c:v>
                </c:pt>
                <c:pt idx="162">
                  <c:v>Jun-03</c:v>
                </c:pt>
                <c:pt idx="163">
                  <c:v>Jul-03</c:v>
                </c:pt>
                <c:pt idx="164">
                  <c:v>Aug-03</c:v>
                </c:pt>
                <c:pt idx="165">
                  <c:v>Sep-03</c:v>
                </c:pt>
                <c:pt idx="166">
                  <c:v>Oct-03</c:v>
                </c:pt>
                <c:pt idx="167">
                  <c:v>Nov-03</c:v>
                </c:pt>
                <c:pt idx="168">
                  <c:v>Dec-03</c:v>
                </c:pt>
                <c:pt idx="169">
                  <c:v>Jan-04</c:v>
                </c:pt>
                <c:pt idx="170">
                  <c:v>Feb-04</c:v>
                </c:pt>
                <c:pt idx="171">
                  <c:v>Mar-04</c:v>
                </c:pt>
                <c:pt idx="172">
                  <c:v>Apr-04</c:v>
                </c:pt>
                <c:pt idx="173">
                  <c:v>May-04</c:v>
                </c:pt>
                <c:pt idx="174">
                  <c:v>Jun-04</c:v>
                </c:pt>
                <c:pt idx="175">
                  <c:v>Jul-04</c:v>
                </c:pt>
                <c:pt idx="176">
                  <c:v>Aug-04</c:v>
                </c:pt>
                <c:pt idx="177">
                  <c:v>Sep-04</c:v>
                </c:pt>
                <c:pt idx="178">
                  <c:v>Oct-04</c:v>
                </c:pt>
                <c:pt idx="179">
                  <c:v>Nov-04</c:v>
                </c:pt>
                <c:pt idx="180">
                  <c:v>Dec-04</c:v>
                </c:pt>
                <c:pt idx="181">
                  <c:v>Jan-05</c:v>
                </c:pt>
                <c:pt idx="182">
                  <c:v>Feb-05</c:v>
                </c:pt>
                <c:pt idx="183">
                  <c:v>Mar-05</c:v>
                </c:pt>
                <c:pt idx="184">
                  <c:v>Apr-05</c:v>
                </c:pt>
                <c:pt idx="185">
                  <c:v>May-05</c:v>
                </c:pt>
                <c:pt idx="186">
                  <c:v>Jun-05</c:v>
                </c:pt>
                <c:pt idx="187">
                  <c:v>Jul-05</c:v>
                </c:pt>
                <c:pt idx="188">
                  <c:v>Aug-05</c:v>
                </c:pt>
                <c:pt idx="189">
                  <c:v>Sep-05</c:v>
                </c:pt>
                <c:pt idx="190">
                  <c:v>Oct-05</c:v>
                </c:pt>
                <c:pt idx="191">
                  <c:v>Nov-05</c:v>
                </c:pt>
                <c:pt idx="192">
                  <c:v>Dec-05</c:v>
                </c:pt>
                <c:pt idx="193">
                  <c:v>Jan-06</c:v>
                </c:pt>
                <c:pt idx="194">
                  <c:v>Feb-06</c:v>
                </c:pt>
                <c:pt idx="195">
                  <c:v>Mar-06</c:v>
                </c:pt>
                <c:pt idx="196">
                  <c:v>Apr-06</c:v>
                </c:pt>
                <c:pt idx="197">
                  <c:v>May-06</c:v>
                </c:pt>
                <c:pt idx="198">
                  <c:v>Jun-06</c:v>
                </c:pt>
                <c:pt idx="199">
                  <c:v>Jul-06</c:v>
                </c:pt>
                <c:pt idx="200">
                  <c:v>Aug-06</c:v>
                </c:pt>
                <c:pt idx="201">
                  <c:v>Sep-06</c:v>
                </c:pt>
                <c:pt idx="202">
                  <c:v>Oct-06</c:v>
                </c:pt>
                <c:pt idx="203">
                  <c:v>Nov-06</c:v>
                </c:pt>
                <c:pt idx="204">
                  <c:v>Dec-06</c:v>
                </c:pt>
                <c:pt idx="205">
                  <c:v>Jan-07</c:v>
                </c:pt>
                <c:pt idx="206">
                  <c:v>Feb-07</c:v>
                </c:pt>
                <c:pt idx="207">
                  <c:v>Mar-07</c:v>
                </c:pt>
                <c:pt idx="208">
                  <c:v>Apr-07</c:v>
                </c:pt>
                <c:pt idx="209">
                  <c:v>May-07</c:v>
                </c:pt>
                <c:pt idx="210">
                  <c:v>Jun-07</c:v>
                </c:pt>
                <c:pt idx="211">
                  <c:v>Jul-07</c:v>
                </c:pt>
                <c:pt idx="212">
                  <c:v>Aug-07</c:v>
                </c:pt>
                <c:pt idx="213">
                  <c:v>Sep-07</c:v>
                </c:pt>
                <c:pt idx="214">
                  <c:v>Oct-07</c:v>
                </c:pt>
                <c:pt idx="215">
                  <c:v>Nov-07</c:v>
                </c:pt>
                <c:pt idx="216">
                  <c:v>Dec-07</c:v>
                </c:pt>
                <c:pt idx="217">
                  <c:v>Jan-08</c:v>
                </c:pt>
                <c:pt idx="218">
                  <c:v>Feb-08</c:v>
                </c:pt>
                <c:pt idx="219">
                  <c:v>Mar-08</c:v>
                </c:pt>
                <c:pt idx="220">
                  <c:v>Apr-08</c:v>
                </c:pt>
                <c:pt idx="221">
                  <c:v>May-08</c:v>
                </c:pt>
                <c:pt idx="222">
                  <c:v>Jun-08</c:v>
                </c:pt>
                <c:pt idx="223">
                  <c:v>Jul-08</c:v>
                </c:pt>
                <c:pt idx="224">
                  <c:v>Aug-08</c:v>
                </c:pt>
                <c:pt idx="225">
                  <c:v>Sep-08</c:v>
                </c:pt>
                <c:pt idx="226">
                  <c:v>Oct-08</c:v>
                </c:pt>
                <c:pt idx="227">
                  <c:v>Nov-08</c:v>
                </c:pt>
                <c:pt idx="228">
                  <c:v>Dec-08</c:v>
                </c:pt>
                <c:pt idx="229">
                  <c:v>Jan-09</c:v>
                </c:pt>
                <c:pt idx="230">
                  <c:v>Feb-09</c:v>
                </c:pt>
                <c:pt idx="231">
                  <c:v>Mar-09</c:v>
                </c:pt>
                <c:pt idx="232">
                  <c:v>Apr-09</c:v>
                </c:pt>
                <c:pt idx="233">
                  <c:v>May-09</c:v>
                </c:pt>
                <c:pt idx="234">
                  <c:v>Jun-09</c:v>
                </c:pt>
                <c:pt idx="235">
                  <c:v>Jul-09</c:v>
                </c:pt>
                <c:pt idx="236">
                  <c:v>Aug-09</c:v>
                </c:pt>
                <c:pt idx="237">
                  <c:v>Sep-09</c:v>
                </c:pt>
                <c:pt idx="238">
                  <c:v>Oct-09</c:v>
                </c:pt>
                <c:pt idx="239">
                  <c:v>Nov-09</c:v>
                </c:pt>
                <c:pt idx="240">
                  <c:v>Dec-09</c:v>
                </c:pt>
                <c:pt idx="241">
                  <c:v>Jan-10</c:v>
                </c:pt>
                <c:pt idx="242">
                  <c:v>Feb-10</c:v>
                </c:pt>
                <c:pt idx="243">
                  <c:v>Mar-10</c:v>
                </c:pt>
                <c:pt idx="244">
                  <c:v>Apr-10</c:v>
                </c:pt>
                <c:pt idx="245">
                  <c:v>May-10</c:v>
                </c:pt>
                <c:pt idx="246">
                  <c:v>Jun-10</c:v>
                </c:pt>
                <c:pt idx="247">
                  <c:v>Jul-10</c:v>
                </c:pt>
                <c:pt idx="248">
                  <c:v>Aug-10</c:v>
                </c:pt>
                <c:pt idx="249">
                  <c:v>Sep-10</c:v>
                </c:pt>
                <c:pt idx="250">
                  <c:v>Oct-10</c:v>
                </c:pt>
                <c:pt idx="251">
                  <c:v>Nov-10</c:v>
                </c:pt>
                <c:pt idx="252">
                  <c:v>Dec-10</c:v>
                </c:pt>
                <c:pt idx="253">
                  <c:v>Jan-11</c:v>
                </c:pt>
                <c:pt idx="254">
                  <c:v>Feb-11</c:v>
                </c:pt>
              </c:strCache>
            </c:strRef>
          </c:cat>
          <c:val>
            <c:numRef>
              <c:f>'Month S&amp;P'!$X$26:$X$280</c:f>
              <c:numCache>
                <c:formatCode>0.0%</c:formatCode>
                <c:ptCount val="255"/>
                <c:pt idx="1">
                  <c:v>0.383560513307776</c:v>
                </c:pt>
                <c:pt idx="2">
                  <c:v>0.399786216557802</c:v>
                </c:pt>
                <c:pt idx="3">
                  <c:v>0.485902668021489</c:v>
                </c:pt>
                <c:pt idx="4">
                  <c:v>0.587562630420144</c:v>
                </c:pt>
                <c:pt idx="5">
                  <c:v>0.507717798255194</c:v>
                </c:pt>
                <c:pt idx="6">
                  <c:v>0.4684648784331</c:v>
                </c:pt>
                <c:pt idx="7">
                  <c:v>0.508626849785084</c:v>
                </c:pt>
                <c:pt idx="8">
                  <c:v>0.50748517954316</c:v>
                </c:pt>
                <c:pt idx="9">
                  <c:v>0.482562174048548</c:v>
                </c:pt>
                <c:pt idx="10">
                  <c:v>0.463339027426623</c:v>
                </c:pt>
                <c:pt idx="11">
                  <c:v>0.377870155676872</c:v>
                </c:pt>
                <c:pt idx="12">
                  <c:v>0.364133638044148</c:v>
                </c:pt>
                <c:pt idx="13">
                  <c:v>0.309662649827945</c:v>
                </c:pt>
                <c:pt idx="14">
                  <c:v>0.336465825865288</c:v>
                </c:pt>
                <c:pt idx="15">
                  <c:v>0.259085012452463</c:v>
                </c:pt>
                <c:pt idx="16">
                  <c:v>0.199446131739103</c:v>
                </c:pt>
                <c:pt idx="17">
                  <c:v>0.22696667814258</c:v>
                </c:pt>
                <c:pt idx="18">
                  <c:v>0.194208780762883</c:v>
                </c:pt>
                <c:pt idx="19">
                  <c:v>0.165214372997532</c:v>
                </c:pt>
                <c:pt idx="20">
                  <c:v>0.145602320621609</c:v>
                </c:pt>
                <c:pt idx="21">
                  <c:v>0.191564977003969</c:v>
                </c:pt>
                <c:pt idx="22">
                  <c:v>0.232907836665157</c:v>
                </c:pt>
                <c:pt idx="23">
                  <c:v>0.32767143679496</c:v>
                </c:pt>
                <c:pt idx="24">
                  <c:v>0.372959148514568</c:v>
                </c:pt>
                <c:pt idx="25">
                  <c:v>0.403234609303368</c:v>
                </c:pt>
                <c:pt idx="26">
                  <c:v>0.366536829853402</c:v>
                </c:pt>
                <c:pt idx="27">
                  <c:v>0.381466530767445</c:v>
                </c:pt>
                <c:pt idx="28">
                  <c:v>0.387008950191528</c:v>
                </c:pt>
                <c:pt idx="29">
                  <c:v>0.350740460882422</c:v>
                </c:pt>
                <c:pt idx="30">
                  <c:v>0.41284659439259</c:v>
                </c:pt>
                <c:pt idx="31">
                  <c:v>0.443706312679169</c:v>
                </c:pt>
                <c:pt idx="32">
                  <c:v>0.465913243972666</c:v>
                </c:pt>
                <c:pt idx="33">
                  <c:v>0.349628458633899</c:v>
                </c:pt>
                <c:pt idx="34">
                  <c:v>0.271573715273989</c:v>
                </c:pt>
                <c:pt idx="35">
                  <c:v>0.146432986885816</c:v>
                </c:pt>
                <c:pt idx="36">
                  <c:v>0.0841769114764824</c:v>
                </c:pt>
                <c:pt idx="37">
                  <c:v>0.0807120535730568</c:v>
                </c:pt>
                <c:pt idx="38">
                  <c:v>0.0848637511365419</c:v>
                </c:pt>
                <c:pt idx="39">
                  <c:v>0.0656263862820527</c:v>
                </c:pt>
                <c:pt idx="40">
                  <c:v>0.0537478498696879</c:v>
                </c:pt>
                <c:pt idx="41">
                  <c:v>0.0475193033849268</c:v>
                </c:pt>
                <c:pt idx="42">
                  <c:v>-0.00136279318518941</c:v>
                </c:pt>
                <c:pt idx="43">
                  <c:v>-0.0386716711829254</c:v>
                </c:pt>
                <c:pt idx="44">
                  <c:v>-0.0801826125995287</c:v>
                </c:pt>
                <c:pt idx="45">
                  <c:v>-0.0664426534075297</c:v>
                </c:pt>
                <c:pt idx="46">
                  <c:v>-0.0581590564250355</c:v>
                </c:pt>
                <c:pt idx="47">
                  <c:v>-0.0160067525928214</c:v>
                </c:pt>
                <c:pt idx="48">
                  <c:v>-0.0197094467959683</c:v>
                </c:pt>
                <c:pt idx="49">
                  <c:v>-0.0626930502321422</c:v>
                </c:pt>
                <c:pt idx="50">
                  <c:v>-0.0690350726733476</c:v>
                </c:pt>
                <c:pt idx="51">
                  <c:v>-0.0622936872299017</c:v>
                </c:pt>
                <c:pt idx="52">
                  <c:v>-0.0609855859419763</c:v>
                </c:pt>
                <c:pt idx="53">
                  <c:v>-0.0746185721319691</c:v>
                </c:pt>
                <c:pt idx="54">
                  <c:v>-0.0421566209588457</c:v>
                </c:pt>
                <c:pt idx="55">
                  <c:v>-0.0188002706047852</c:v>
                </c:pt>
                <c:pt idx="56">
                  <c:v>0.0317301067669423</c:v>
                </c:pt>
                <c:pt idx="57">
                  <c:v>0.0689769458779402</c:v>
                </c:pt>
                <c:pt idx="58">
                  <c:v>0.1076630551879</c:v>
                </c:pt>
                <c:pt idx="59">
                  <c:v>0.142274892972456</c:v>
                </c:pt>
                <c:pt idx="60">
                  <c:v>0.181116137798995</c:v>
                </c:pt>
                <c:pt idx="61">
                  <c:v>0.22649655852991</c:v>
                </c:pt>
                <c:pt idx="62">
                  <c:v>0.240956266153124</c:v>
                </c:pt>
                <c:pt idx="63">
                  <c:v>0.235248252374039</c:v>
                </c:pt>
                <c:pt idx="64">
                  <c:v>0.217023269062452</c:v>
                </c:pt>
                <c:pt idx="65">
                  <c:v>0.232393385686575</c:v>
                </c:pt>
                <c:pt idx="66">
                  <c:v>0.178736035677326</c:v>
                </c:pt>
                <c:pt idx="67">
                  <c:v>0.160572857617286</c:v>
                </c:pt>
                <c:pt idx="68">
                  <c:v>0.121256956857094</c:v>
                </c:pt>
                <c:pt idx="69">
                  <c:v>0.061761445441247</c:v>
                </c:pt>
                <c:pt idx="70">
                  <c:v>-0.00440513381181334</c:v>
                </c:pt>
                <c:pt idx="71">
                  <c:v>-0.0643688358933421</c:v>
                </c:pt>
                <c:pt idx="72">
                  <c:v>-0.110821821738934</c:v>
                </c:pt>
                <c:pt idx="73">
                  <c:v>-0.118952308941998</c:v>
                </c:pt>
                <c:pt idx="74">
                  <c:v>-0.133183872724024</c:v>
                </c:pt>
                <c:pt idx="75">
                  <c:v>-0.16775986276989</c:v>
                </c:pt>
                <c:pt idx="76">
                  <c:v>-0.165045986321491</c:v>
                </c:pt>
                <c:pt idx="77">
                  <c:v>-0.159762659484135</c:v>
                </c:pt>
                <c:pt idx="78">
                  <c:v>-0.146816669360673</c:v>
                </c:pt>
                <c:pt idx="79">
                  <c:v>-0.144887610376744</c:v>
                </c:pt>
                <c:pt idx="80">
                  <c:v>-0.164289070019015</c:v>
                </c:pt>
                <c:pt idx="81">
                  <c:v>-0.144674286260274</c:v>
                </c:pt>
                <c:pt idx="82">
                  <c:v>-0.128775078796619</c:v>
                </c:pt>
                <c:pt idx="83">
                  <c:v>-0.121461211170315</c:v>
                </c:pt>
                <c:pt idx="84">
                  <c:v>-0.094055335084297</c:v>
                </c:pt>
                <c:pt idx="85">
                  <c:v>-0.0929985158292417</c:v>
                </c:pt>
                <c:pt idx="86">
                  <c:v>-0.110678028845909</c:v>
                </c:pt>
                <c:pt idx="87">
                  <c:v>-0.0781176001239241</c:v>
                </c:pt>
                <c:pt idx="88">
                  <c:v>-0.094769958926858</c:v>
                </c:pt>
                <c:pt idx="89">
                  <c:v>-0.129154530735644</c:v>
                </c:pt>
                <c:pt idx="90">
                  <c:v>-0.160513451534908</c:v>
                </c:pt>
                <c:pt idx="91">
                  <c:v>-0.171190172422796</c:v>
                </c:pt>
                <c:pt idx="92">
                  <c:v>-0.157289708853822</c:v>
                </c:pt>
                <c:pt idx="93">
                  <c:v>-0.151962823667951</c:v>
                </c:pt>
                <c:pt idx="94">
                  <c:v>-0.123499612162871</c:v>
                </c:pt>
                <c:pt idx="95">
                  <c:v>-0.124930200161326</c:v>
                </c:pt>
                <c:pt idx="96">
                  <c:v>-0.123330545203043</c:v>
                </c:pt>
                <c:pt idx="97">
                  <c:v>-0.131625080296663</c:v>
                </c:pt>
                <c:pt idx="98">
                  <c:v>-0.126562650332305</c:v>
                </c:pt>
                <c:pt idx="99">
                  <c:v>-0.120515862937977</c:v>
                </c:pt>
                <c:pt idx="100">
                  <c:v>-0.0934282079584777</c:v>
                </c:pt>
                <c:pt idx="101">
                  <c:v>-0.0798132134062453</c:v>
                </c:pt>
                <c:pt idx="102">
                  <c:v>-0.0349928589908573</c:v>
                </c:pt>
                <c:pt idx="103">
                  <c:v>-0.0331254325214383</c:v>
                </c:pt>
                <c:pt idx="104">
                  <c:v>-0.0320820331075407</c:v>
                </c:pt>
                <c:pt idx="105">
                  <c:v>-0.0654131065203019</c:v>
                </c:pt>
                <c:pt idx="106">
                  <c:v>-0.099120870561294</c:v>
                </c:pt>
                <c:pt idx="107">
                  <c:v>-0.0951204651616959</c:v>
                </c:pt>
                <c:pt idx="108">
                  <c:v>-0.11291481801716</c:v>
                </c:pt>
                <c:pt idx="109">
                  <c:v>-0.106677410618469</c:v>
                </c:pt>
                <c:pt idx="110">
                  <c:v>-0.0984835545444303</c:v>
                </c:pt>
                <c:pt idx="111">
                  <c:v>-0.0963758060089076</c:v>
                </c:pt>
                <c:pt idx="112">
                  <c:v>-0.102741560372696</c:v>
                </c:pt>
                <c:pt idx="113">
                  <c:v>-0.0774442661260921</c:v>
                </c:pt>
                <c:pt idx="114">
                  <c:v>-0.0934812283024358</c:v>
                </c:pt>
                <c:pt idx="115">
                  <c:v>-0.0811776692024622</c:v>
                </c:pt>
                <c:pt idx="116">
                  <c:v>-0.0721650375721001</c:v>
                </c:pt>
                <c:pt idx="117">
                  <c:v>-0.0221133326471713</c:v>
                </c:pt>
                <c:pt idx="118">
                  <c:v>-0.0197668630531202</c:v>
                </c:pt>
                <c:pt idx="119">
                  <c:v>-0.00448687114289928</c:v>
                </c:pt>
                <c:pt idx="120">
                  <c:v>0.0270109346398932</c:v>
                </c:pt>
                <c:pt idx="121">
                  <c:v>0.0258024818285287</c:v>
                </c:pt>
                <c:pt idx="122">
                  <c:v>0.0461246811932581</c:v>
                </c:pt>
                <c:pt idx="123">
                  <c:v>0.0331066088475127</c:v>
                </c:pt>
                <c:pt idx="124">
                  <c:v>0.027953526398729</c:v>
                </c:pt>
                <c:pt idx="125">
                  <c:v>0.0477075433505337</c:v>
                </c:pt>
                <c:pt idx="126">
                  <c:v>0.0868838389101974</c:v>
                </c:pt>
                <c:pt idx="127">
                  <c:v>0.094664500401445</c:v>
                </c:pt>
                <c:pt idx="128">
                  <c:v>0.118065823161161</c:v>
                </c:pt>
                <c:pt idx="129">
                  <c:v>0.111479191854176</c:v>
                </c:pt>
                <c:pt idx="130">
                  <c:v>0.154734664527792</c:v>
                </c:pt>
                <c:pt idx="131">
                  <c:v>0.142689018336652</c:v>
                </c:pt>
                <c:pt idx="132">
                  <c:v>0.12983340779235</c:v>
                </c:pt>
                <c:pt idx="133">
                  <c:v>0.135002021288669</c:v>
                </c:pt>
                <c:pt idx="134">
                  <c:v>0.145101211958521</c:v>
                </c:pt>
                <c:pt idx="135">
                  <c:v>0.157718556128014</c:v>
                </c:pt>
                <c:pt idx="136">
                  <c:v>0.22305227359098</c:v>
                </c:pt>
                <c:pt idx="137">
                  <c:v>0.19811222572041</c:v>
                </c:pt>
                <c:pt idx="138">
                  <c:v>0.190702888033835</c:v>
                </c:pt>
                <c:pt idx="139">
                  <c:v>0.1909759131994</c:v>
                </c:pt>
                <c:pt idx="140">
                  <c:v>0.181227616547135</c:v>
                </c:pt>
                <c:pt idx="141">
                  <c:v>0.158536659966627</c:v>
                </c:pt>
                <c:pt idx="142">
                  <c:v>0.182201759976619</c:v>
                </c:pt>
                <c:pt idx="143">
                  <c:v>0.205054771898612</c:v>
                </c:pt>
                <c:pt idx="144">
                  <c:v>0.203921926782971</c:v>
                </c:pt>
                <c:pt idx="145">
                  <c:v>0.196745892854911</c:v>
                </c:pt>
                <c:pt idx="146">
                  <c:v>0.158620426189007</c:v>
                </c:pt>
                <c:pt idx="147">
                  <c:v>0.181214844184902</c:v>
                </c:pt>
                <c:pt idx="148">
                  <c:v>0.0998383567769206</c:v>
                </c:pt>
                <c:pt idx="149">
                  <c:v>0.0847706001788398</c:v>
                </c:pt>
                <c:pt idx="150">
                  <c:v>0.0442982340826141</c:v>
                </c:pt>
                <c:pt idx="151">
                  <c:v>0.00901279612183178</c:v>
                </c:pt>
                <c:pt idx="152">
                  <c:v>-0.0405162590624405</c:v>
                </c:pt>
                <c:pt idx="153">
                  <c:v>-0.0459453784648712</c:v>
                </c:pt>
                <c:pt idx="154">
                  <c:v>-0.1331343965628</c:v>
                </c:pt>
                <c:pt idx="155">
                  <c:v>-0.134831000420607</c:v>
                </c:pt>
                <c:pt idx="156">
                  <c:v>-0.146517595790946</c:v>
                </c:pt>
                <c:pt idx="157">
                  <c:v>-0.154675414274163</c:v>
                </c:pt>
                <c:pt idx="158">
                  <c:v>-0.153040912358637</c:v>
                </c:pt>
                <c:pt idx="159">
                  <c:v>-0.217549617770076</c:v>
                </c:pt>
                <c:pt idx="160">
                  <c:v>-0.19749654481646</c:v>
                </c:pt>
                <c:pt idx="161">
                  <c:v>-0.207137082195177</c:v>
                </c:pt>
                <c:pt idx="162">
                  <c:v>-0.16811569259055</c:v>
                </c:pt>
                <c:pt idx="163">
                  <c:v>-0.109741650754572</c:v>
                </c:pt>
                <c:pt idx="164">
                  <c:v>-0.0370864661361977</c:v>
                </c:pt>
                <c:pt idx="165">
                  <c:v>-0.00899074182827078</c:v>
                </c:pt>
                <c:pt idx="166">
                  <c:v>0.0541311721695522</c:v>
                </c:pt>
                <c:pt idx="167">
                  <c:v>0.0391675975494573</c:v>
                </c:pt>
                <c:pt idx="168">
                  <c:v>0.0587327196603455</c:v>
                </c:pt>
                <c:pt idx="169">
                  <c:v>0.0974182808960097</c:v>
                </c:pt>
                <c:pt idx="170">
                  <c:v>0.103335748298231</c:v>
                </c:pt>
                <c:pt idx="171">
                  <c:v>0.209010611512902</c:v>
                </c:pt>
                <c:pt idx="172">
                  <c:v>0.192256307462893</c:v>
                </c:pt>
                <c:pt idx="173">
                  <c:v>0.191177336307326</c:v>
                </c:pt>
                <c:pt idx="174">
                  <c:v>0.150687704069416</c:v>
                </c:pt>
                <c:pt idx="175">
                  <c:v>0.0744637435784716</c:v>
                </c:pt>
                <c:pt idx="176">
                  <c:v>0.00764100009186576</c:v>
                </c:pt>
                <c:pt idx="177">
                  <c:v>-0.00489174522991065</c:v>
                </c:pt>
                <c:pt idx="178">
                  <c:v>-0.00553091938761037</c:v>
                </c:pt>
                <c:pt idx="179">
                  <c:v>-0.0266125350727866</c:v>
                </c:pt>
                <c:pt idx="180">
                  <c:v>-0.0453483475298126</c:v>
                </c:pt>
                <c:pt idx="181">
                  <c:v>-0.0896959132906752</c:v>
                </c:pt>
                <c:pt idx="182">
                  <c:v>-0.093393608903299</c:v>
                </c:pt>
                <c:pt idx="183">
                  <c:v>-0.129399446911522</c:v>
                </c:pt>
                <c:pt idx="184">
                  <c:v>-0.102447988223239</c:v>
                </c:pt>
                <c:pt idx="185">
                  <c:v>-0.0462786887885195</c:v>
                </c:pt>
                <c:pt idx="186">
                  <c:v>-0.0439139719209694</c:v>
                </c:pt>
                <c:pt idx="187">
                  <c:v>-0.0178355197234323</c:v>
                </c:pt>
                <c:pt idx="188">
                  <c:v>0.0190536545384543</c:v>
                </c:pt>
                <c:pt idx="189">
                  <c:v>0.00813250065336038</c:v>
                </c:pt>
                <c:pt idx="190">
                  <c:v>-0.0138560527223813</c:v>
                </c:pt>
                <c:pt idx="191">
                  <c:v>0.0315545567462628</c:v>
                </c:pt>
                <c:pt idx="192">
                  <c:v>0.064691970377557</c:v>
                </c:pt>
                <c:pt idx="193">
                  <c:v>0.11343334130749</c:v>
                </c:pt>
                <c:pt idx="194">
                  <c:v>0.161721901811242</c:v>
                </c:pt>
                <c:pt idx="195">
                  <c:v>0.157119491373873</c:v>
                </c:pt>
                <c:pt idx="196">
                  <c:v>0.128260262470238</c:v>
                </c:pt>
                <c:pt idx="197">
                  <c:v>0.0757513806375341</c:v>
                </c:pt>
                <c:pt idx="198">
                  <c:v>0.0751070791898533</c:v>
                </c:pt>
                <c:pt idx="199">
                  <c:v>0.0955200551033416</c:v>
                </c:pt>
                <c:pt idx="200">
                  <c:v>0.097067634696896</c:v>
                </c:pt>
                <c:pt idx="201">
                  <c:v>0.106807190126658</c:v>
                </c:pt>
                <c:pt idx="202">
                  <c:v>0.150828046947276</c:v>
                </c:pt>
                <c:pt idx="203">
                  <c:v>0.158525568141826</c:v>
                </c:pt>
                <c:pt idx="204">
                  <c:v>0.142542117709148</c:v>
                </c:pt>
                <c:pt idx="205">
                  <c:v>0.121470786703762</c:v>
                </c:pt>
                <c:pt idx="206">
                  <c:v>0.0620474916565787</c:v>
                </c:pt>
                <c:pt idx="207">
                  <c:v>0.0647374685489774</c:v>
                </c:pt>
                <c:pt idx="208">
                  <c:v>0.0936224551809033</c:v>
                </c:pt>
                <c:pt idx="209">
                  <c:v>0.100464547279437</c:v>
                </c:pt>
                <c:pt idx="210">
                  <c:v>0.150219924881691</c:v>
                </c:pt>
                <c:pt idx="211">
                  <c:v>0.160586713927169</c:v>
                </c:pt>
                <c:pt idx="212">
                  <c:v>0.164209072858376</c:v>
                </c:pt>
                <c:pt idx="213">
                  <c:v>0.188931311692984</c:v>
                </c:pt>
                <c:pt idx="214">
                  <c:v>0.18238788968382</c:v>
                </c:pt>
                <c:pt idx="215">
                  <c:v>0.153624321107993</c:v>
                </c:pt>
                <c:pt idx="216">
                  <c:v>0.197159503127225</c:v>
                </c:pt>
                <c:pt idx="217">
                  <c:v>0.220977407317632</c:v>
                </c:pt>
                <c:pt idx="218">
                  <c:v>0.282919083446286</c:v>
                </c:pt>
                <c:pt idx="219">
                  <c:v>0.301599268566081</c:v>
                </c:pt>
                <c:pt idx="220">
                  <c:v>0.301720254941557</c:v>
                </c:pt>
                <c:pt idx="221">
                  <c:v>0.339915220698053</c:v>
                </c:pt>
                <c:pt idx="222">
                  <c:v>0.31940188496574</c:v>
                </c:pt>
                <c:pt idx="223">
                  <c:v>0.32569398311348</c:v>
                </c:pt>
                <c:pt idx="224">
                  <c:v>0.337112080714973</c:v>
                </c:pt>
                <c:pt idx="225">
                  <c:v>0.340551638910736</c:v>
                </c:pt>
                <c:pt idx="226">
                  <c:v>0.355096547185767</c:v>
                </c:pt>
                <c:pt idx="227">
                  <c:v>0.369782685447776</c:v>
                </c:pt>
                <c:pt idx="228">
                  <c:v>0.32137949693975</c:v>
                </c:pt>
                <c:pt idx="229">
                  <c:v>0.289962743734212</c:v>
                </c:pt>
                <c:pt idx="230">
                  <c:v>0.254269954094166</c:v>
                </c:pt>
                <c:pt idx="231">
                  <c:v>0.252032630754432</c:v>
                </c:pt>
                <c:pt idx="232">
                  <c:v>0.204502586531294</c:v>
                </c:pt>
                <c:pt idx="233">
                  <c:v>0.128959747993109</c:v>
                </c:pt>
                <c:pt idx="234">
                  <c:v>0.055634244169076</c:v>
                </c:pt>
                <c:pt idx="235">
                  <c:v>-0.00931378086729422</c:v>
                </c:pt>
                <c:pt idx="236">
                  <c:v>-0.0491240444132696</c:v>
                </c:pt>
                <c:pt idx="237">
                  <c:v>-0.100128998154848</c:v>
                </c:pt>
                <c:pt idx="238">
                  <c:v>-0.162687913195837</c:v>
                </c:pt>
                <c:pt idx="239">
                  <c:v>-0.188460284389627</c:v>
                </c:pt>
                <c:pt idx="240">
                  <c:v>-0.218470502945766</c:v>
                </c:pt>
                <c:pt idx="241">
                  <c:v>-0.226911527659327</c:v>
                </c:pt>
                <c:pt idx="242">
                  <c:v>-0.244222122515005</c:v>
                </c:pt>
                <c:pt idx="243">
                  <c:v>-0.269499292469335</c:v>
                </c:pt>
                <c:pt idx="244">
                  <c:v>-0.229125366117469</c:v>
                </c:pt>
                <c:pt idx="245">
                  <c:v>-0.168037944754919</c:v>
                </c:pt>
                <c:pt idx="246">
                  <c:v>-0.105622728777554</c:v>
                </c:pt>
                <c:pt idx="247">
                  <c:v>-0.0701143013846325</c:v>
                </c:pt>
                <c:pt idx="248">
                  <c:v>-0.0578697777327907</c:v>
                </c:pt>
                <c:pt idx="249">
                  <c:v>-0.017168753084991</c:v>
                </c:pt>
                <c:pt idx="250">
                  <c:v>0.0268299744249635</c:v>
                </c:pt>
                <c:pt idx="251">
                  <c:v>0.055470413809126</c:v>
                </c:pt>
                <c:pt idx="252">
                  <c:v>0.117092955422259</c:v>
                </c:pt>
                <c:pt idx="253">
                  <c:v>0.146886244154429</c:v>
                </c:pt>
                <c:pt idx="254">
                  <c:v>0.191201897581772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8080FF"/>
                  </a:solidFill>
                  <a:ln w="381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8842328"/>
        <c:axId val="-2058835880"/>
      </c:barChart>
      <c:catAx>
        <c:axId val="-2058842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Year to Year Growth %</a:t>
                </a:r>
              </a:p>
            </c:rich>
          </c:tx>
          <c:layout>
            <c:manualLayout>
              <c:xMode val="edge"/>
              <c:yMode val="edge"/>
              <c:x val="0.355555555555556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25" b="1" i="0" u="none" strike="noStrike" baseline="-25000">
                <a:solidFill>
                  <a:srgbClr val="000000"/>
                </a:solidFill>
                <a:latin typeface="Frutiger 45 Light"/>
                <a:ea typeface="Frutiger 45 Light"/>
                <a:cs typeface="Frutiger 45 Light"/>
              </a:defRPr>
            </a:pPr>
            <a:endParaRPr lang="en-US"/>
          </a:p>
        </c:txPr>
        <c:crossAx val="-2058835880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-2058835880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FFFFFF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8842328"/>
        <c:crosses val="autoZero"/>
        <c:crossBetween val="between"/>
      </c:valAx>
      <c:spPr>
        <a:solidFill>
          <a:srgbClr val="8080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Sales by Quarter as % of Full Year</a:t>
            </a:r>
          </a:p>
        </c:rich>
      </c:tx>
      <c:layout>
        <c:manualLayout>
          <c:xMode val="edge"/>
          <c:yMode val="edge"/>
          <c:x val="0.325925925925926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29629629629629"/>
          <c:y val="0.137254901960784"/>
          <c:w val="0.914074074074074"/>
          <c:h val="0.777777777777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 S&amp;P'!$BH$17</c:f>
              <c:strCache>
                <c:ptCount val="1"/>
                <c:pt idx="0">
                  <c:v>1st Q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S&amp;P'!$BI$17:$CE$17</c:f>
              <c:numCache>
                <c:formatCode>0%</c:formatCode>
                <c:ptCount val="23"/>
                <c:pt idx="0">
                  <c:v>0.186150194075685</c:v>
                </c:pt>
                <c:pt idx="1">
                  <c:v>0.155216467782787</c:v>
                </c:pt>
                <c:pt idx="2">
                  <c:v>0.206523610714597</c:v>
                </c:pt>
                <c:pt idx="3">
                  <c:v>0.188097224327489</c:v>
                </c:pt>
                <c:pt idx="4">
                  <c:v>0.208069022147765</c:v>
                </c:pt>
                <c:pt idx="5">
                  <c:v>0.241122984067508</c:v>
                </c:pt>
                <c:pt idx="6">
                  <c:v>0.190290081586343</c:v>
                </c:pt>
                <c:pt idx="7">
                  <c:v>0.246298133289794</c:v>
                </c:pt>
                <c:pt idx="8">
                  <c:v>0.230850644435343</c:v>
                </c:pt>
                <c:pt idx="9">
                  <c:v>0.240260540454862</c:v>
                </c:pt>
                <c:pt idx="10">
                  <c:v>0.251593316037931</c:v>
                </c:pt>
                <c:pt idx="11">
                  <c:v>0.246193418895035</c:v>
                </c:pt>
                <c:pt idx="12">
                  <c:v>0.224268647373672</c:v>
                </c:pt>
                <c:pt idx="13">
                  <c:v>0.212903941265551</c:v>
                </c:pt>
                <c:pt idx="14">
                  <c:v>0.264199445476564</c:v>
                </c:pt>
                <c:pt idx="15">
                  <c:v>0.18183202725724</c:v>
                </c:pt>
                <c:pt idx="16">
                  <c:v>0.253401242427199</c:v>
                </c:pt>
                <c:pt idx="17">
                  <c:v>0.206769579351207</c:v>
                </c:pt>
                <c:pt idx="18">
                  <c:v>0.225321072450168</c:v>
                </c:pt>
                <c:pt idx="19">
                  <c:v>0.17077256906577</c:v>
                </c:pt>
                <c:pt idx="20">
                  <c:v>0.178080301522047</c:v>
                </c:pt>
                <c:pt idx="21">
                  <c:v>0.238956661140225</c:v>
                </c:pt>
                <c:pt idx="22">
                  <c:v>0.162715521545123</c:v>
                </c:pt>
              </c:numCache>
            </c:numRef>
          </c:val>
        </c:ser>
        <c:ser>
          <c:idx val="1"/>
          <c:order val="1"/>
          <c:tx>
            <c:strRef>
              <c:f>'Month S&amp;P'!$BH$18</c:f>
              <c:strCache>
                <c:ptCount val="1"/>
                <c:pt idx="0">
                  <c:v>2nd Q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S&amp;P'!$BI$18:$CE$18</c:f>
              <c:numCache>
                <c:formatCode>0%</c:formatCode>
                <c:ptCount val="23"/>
                <c:pt idx="0">
                  <c:v>0.202939190188699</c:v>
                </c:pt>
                <c:pt idx="1">
                  <c:v>0.236729105653637</c:v>
                </c:pt>
                <c:pt idx="2">
                  <c:v>0.256841968593841</c:v>
                </c:pt>
                <c:pt idx="3">
                  <c:v>0.231222675225938</c:v>
                </c:pt>
                <c:pt idx="4">
                  <c:v>0.268880243144557</c:v>
                </c:pt>
                <c:pt idx="5">
                  <c:v>0.275061880279304</c:v>
                </c:pt>
                <c:pt idx="6">
                  <c:v>0.251396188396443</c:v>
                </c:pt>
                <c:pt idx="7">
                  <c:v>0.254341658821997</c:v>
                </c:pt>
                <c:pt idx="8">
                  <c:v>0.280758895381148</c:v>
                </c:pt>
                <c:pt idx="9">
                  <c:v>0.220377275848181</c:v>
                </c:pt>
                <c:pt idx="10">
                  <c:v>0.247524222739096</c:v>
                </c:pt>
                <c:pt idx="11">
                  <c:v>0.243338933254402</c:v>
                </c:pt>
                <c:pt idx="12">
                  <c:v>0.264015877720263</c:v>
                </c:pt>
                <c:pt idx="13">
                  <c:v>0.291825863102785</c:v>
                </c:pt>
                <c:pt idx="14">
                  <c:v>0.293149129952569</c:v>
                </c:pt>
                <c:pt idx="15">
                  <c:v>0.293958568994889</c:v>
                </c:pt>
                <c:pt idx="16">
                  <c:v>0.274932183581257</c:v>
                </c:pt>
                <c:pt idx="17">
                  <c:v>0.317760221767284</c:v>
                </c:pt>
                <c:pt idx="18">
                  <c:v>0.268959217573015</c:v>
                </c:pt>
                <c:pt idx="19">
                  <c:v>0.281528610283439</c:v>
                </c:pt>
                <c:pt idx="20">
                  <c:v>0.280854575585492</c:v>
                </c:pt>
                <c:pt idx="21">
                  <c:v>0.248487862245849</c:v>
                </c:pt>
                <c:pt idx="22">
                  <c:v>0.323005232059795</c:v>
                </c:pt>
              </c:numCache>
            </c:numRef>
          </c:val>
        </c:ser>
        <c:ser>
          <c:idx val="2"/>
          <c:order val="2"/>
          <c:tx>
            <c:strRef>
              <c:f>'Month S&amp;P'!$BH$19</c:f>
              <c:strCache>
                <c:ptCount val="1"/>
                <c:pt idx="0">
                  <c:v>3rd Q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S&amp;P'!$BI$19:$CE$19</c:f>
              <c:numCache>
                <c:formatCode>0%</c:formatCode>
                <c:ptCount val="23"/>
                <c:pt idx="0">
                  <c:v>0.328058451351792</c:v>
                </c:pt>
                <c:pt idx="1">
                  <c:v>0.299741207093702</c:v>
                </c:pt>
                <c:pt idx="2">
                  <c:v>0.290090348292566</c:v>
                </c:pt>
                <c:pt idx="3">
                  <c:v>0.235161535400055</c:v>
                </c:pt>
                <c:pt idx="4">
                  <c:v>0.277319961788575</c:v>
                </c:pt>
                <c:pt idx="5">
                  <c:v>0.240890623240421</c:v>
                </c:pt>
                <c:pt idx="6">
                  <c:v>0.26470797491942</c:v>
                </c:pt>
                <c:pt idx="7">
                  <c:v>0.258255138661377</c:v>
                </c:pt>
                <c:pt idx="8">
                  <c:v>0.250495487808018</c:v>
                </c:pt>
                <c:pt idx="9">
                  <c:v>0.262658957217743</c:v>
                </c:pt>
                <c:pt idx="10">
                  <c:v>0.236879464347156</c:v>
                </c:pt>
                <c:pt idx="11">
                  <c:v>0.251204703330655</c:v>
                </c:pt>
                <c:pt idx="12">
                  <c:v>0.263832773617946</c:v>
                </c:pt>
                <c:pt idx="13">
                  <c:v>0.233957832858736</c:v>
                </c:pt>
                <c:pt idx="14">
                  <c:v>0.192370472619007</c:v>
                </c:pt>
                <c:pt idx="15">
                  <c:v>0.276161976149915</c:v>
                </c:pt>
                <c:pt idx="16">
                  <c:v>0.242070227566083</c:v>
                </c:pt>
                <c:pt idx="17">
                  <c:v>0.235329398002764</c:v>
                </c:pt>
                <c:pt idx="18">
                  <c:v>0.240533007142141</c:v>
                </c:pt>
                <c:pt idx="19">
                  <c:v>0.264684958726944</c:v>
                </c:pt>
                <c:pt idx="20">
                  <c:v>0.279000776447166</c:v>
                </c:pt>
                <c:pt idx="21">
                  <c:v>0.273521593061811</c:v>
                </c:pt>
                <c:pt idx="22">
                  <c:v>0.264828000421141</c:v>
                </c:pt>
              </c:numCache>
            </c:numRef>
          </c:val>
        </c:ser>
        <c:ser>
          <c:idx val="3"/>
          <c:order val="3"/>
          <c:tx>
            <c:strRef>
              <c:f>'Month S&amp;P'!$BH$20</c:f>
              <c:strCache>
                <c:ptCount val="1"/>
                <c:pt idx="0">
                  <c:v>4th Q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'Month S&amp;P'!$BI$2:$CE$2</c:f>
              <c:numCache>
                <c:formatCode>General</c:formatCode>
                <c:ptCount val="23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  <c:pt idx="22">
                  <c:v>2010.0</c:v>
                </c:pt>
              </c:numCache>
            </c:numRef>
          </c:cat>
          <c:val>
            <c:numRef>
              <c:f>'Month S&amp;P'!$BI$20:$CE$20</c:f>
              <c:numCache>
                <c:formatCode>0%</c:formatCode>
                <c:ptCount val="23"/>
                <c:pt idx="0">
                  <c:v>0.282852164383824</c:v>
                </c:pt>
                <c:pt idx="1">
                  <c:v>0.308313219469874</c:v>
                </c:pt>
                <c:pt idx="2">
                  <c:v>0.246544072398997</c:v>
                </c:pt>
                <c:pt idx="3">
                  <c:v>0.345518565046519</c:v>
                </c:pt>
                <c:pt idx="4">
                  <c:v>0.245730772919103</c:v>
                </c:pt>
                <c:pt idx="5">
                  <c:v>0.242924512412766</c:v>
                </c:pt>
                <c:pt idx="6">
                  <c:v>0.293605755097794</c:v>
                </c:pt>
                <c:pt idx="7">
                  <c:v>0.241105069226832</c:v>
                </c:pt>
                <c:pt idx="8">
                  <c:v>0.237894972375492</c:v>
                </c:pt>
                <c:pt idx="9">
                  <c:v>0.276703226479214</c:v>
                </c:pt>
                <c:pt idx="10">
                  <c:v>0.264002996875817</c:v>
                </c:pt>
                <c:pt idx="11">
                  <c:v>0.259262944519909</c:v>
                </c:pt>
                <c:pt idx="12">
                  <c:v>0.247882701288119</c:v>
                </c:pt>
                <c:pt idx="13">
                  <c:v>0.261312362772929</c:v>
                </c:pt>
                <c:pt idx="14">
                  <c:v>0.250280951951859</c:v>
                </c:pt>
                <c:pt idx="15">
                  <c:v>0.248047427597956</c:v>
                </c:pt>
                <c:pt idx="16">
                  <c:v>0.229596346425461</c:v>
                </c:pt>
                <c:pt idx="17">
                  <c:v>0.240140800878745</c:v>
                </c:pt>
                <c:pt idx="18">
                  <c:v>0.265186702834676</c:v>
                </c:pt>
                <c:pt idx="19">
                  <c:v>0.283013861923847</c:v>
                </c:pt>
                <c:pt idx="20">
                  <c:v>0.262064346445295</c:v>
                </c:pt>
                <c:pt idx="21">
                  <c:v>0.239033883552115</c:v>
                </c:pt>
                <c:pt idx="22">
                  <c:v>0.249451245973941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2015560"/>
        <c:axId val="2092699688"/>
      </c:barChart>
      <c:catAx>
        <c:axId val="2092015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6996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2699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015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888888888889"/>
          <c:y val="0.0392156862745098"/>
          <c:w val="0.0829629629629629"/>
          <c:h val="0.4531590413943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3E3E3"/>
    </a:solidFill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FFFFFF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Profit Year To Date</a:t>
            </a:r>
          </a:p>
        </c:rich>
      </c:tx>
      <c:layout>
        <c:manualLayout>
          <c:xMode val="edge"/>
          <c:yMode val="edge"/>
          <c:x val="0.336296296296296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777777777778"/>
          <c:y val="0.117647058823529"/>
          <c:w val="0.731851851851852"/>
          <c:h val="0.793028322440087"/>
        </c:manualLayout>
      </c:layout>
      <c:lineChart>
        <c:grouping val="standard"/>
        <c:varyColors val="0"/>
        <c:ser>
          <c:idx val="0"/>
          <c:order val="0"/>
          <c:tx>
            <c:strRef>
              <c:f>'Month S&amp;P'!$DX$2</c:f>
              <c:strCache>
                <c:ptCount val="1"/>
                <c:pt idx="0">
                  <c:v>1999</c:v>
                </c:pt>
              </c:strCache>
            </c:strRef>
          </c:tx>
          <c:spPr>
            <a:ln w="38100">
              <a:solidFill>
                <a:srgbClr val="CCFFCC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S&amp;P'!$DX$3:$DX$14</c:f>
              <c:numCache>
                <c:formatCode>#,##0_);[Red]\(#,##0\)</c:formatCode>
                <c:ptCount val="12"/>
                <c:pt idx="0">
                  <c:v>214483.0</c:v>
                </c:pt>
                <c:pt idx="1">
                  <c:v>153319.0</c:v>
                </c:pt>
                <c:pt idx="2">
                  <c:v>406512.0</c:v>
                </c:pt>
                <c:pt idx="3">
                  <c:v>457751.0</c:v>
                </c:pt>
                <c:pt idx="4">
                  <c:v>606786.0</c:v>
                </c:pt>
                <c:pt idx="5">
                  <c:v>649983.0</c:v>
                </c:pt>
                <c:pt idx="6">
                  <c:v>830978.0</c:v>
                </c:pt>
                <c:pt idx="7">
                  <c:v>917986.0</c:v>
                </c:pt>
                <c:pt idx="8">
                  <c:v>1.084278E6</c:v>
                </c:pt>
                <c:pt idx="9">
                  <c:v>1.0197E6</c:v>
                </c:pt>
                <c:pt idx="10">
                  <c:v>1.132191E6</c:v>
                </c:pt>
                <c:pt idx="11">
                  <c:v>1.121905E6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'Month S&amp;P'!$DZ$2</c:f>
              <c:strCache>
                <c:ptCount val="1"/>
                <c:pt idx="0">
                  <c:v>2001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S&amp;P'!$DY$3:$DY$14</c:f>
              <c:numCache>
                <c:formatCode>#,##0_);[Red]\(#,##0\)</c:formatCode>
                <c:ptCount val="12"/>
                <c:pt idx="0">
                  <c:v>87291.0</c:v>
                </c:pt>
                <c:pt idx="1">
                  <c:v>198120.0</c:v>
                </c:pt>
                <c:pt idx="2">
                  <c:v>475302.0</c:v>
                </c:pt>
                <c:pt idx="3">
                  <c:v>448766.0</c:v>
                </c:pt>
                <c:pt idx="4">
                  <c:v>906464.0</c:v>
                </c:pt>
                <c:pt idx="5">
                  <c:v>1.156234E6</c:v>
                </c:pt>
                <c:pt idx="6">
                  <c:v>1.298646E6</c:v>
                </c:pt>
                <c:pt idx="7">
                  <c:v>1.45593E6</c:v>
                </c:pt>
                <c:pt idx="8">
                  <c:v>1.706692E6</c:v>
                </c:pt>
                <c:pt idx="9">
                  <c:v>1.886193E6</c:v>
                </c:pt>
                <c:pt idx="10">
                  <c:v>1.834232E6</c:v>
                </c:pt>
                <c:pt idx="11">
                  <c:v>1.860698E6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'Month S&amp;P'!$DZ$2</c:f>
              <c:strCache>
                <c:ptCount val="1"/>
                <c:pt idx="0">
                  <c:v>2001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S&amp;P'!$DZ$3:$DZ$14</c:f>
              <c:numCache>
                <c:formatCode>#,##0_);[Red]\(#,##0\)</c:formatCode>
                <c:ptCount val="12"/>
                <c:pt idx="0">
                  <c:v>64077.0</c:v>
                </c:pt>
                <c:pt idx="1">
                  <c:v>340503.0</c:v>
                </c:pt>
                <c:pt idx="2">
                  <c:v>594709.0</c:v>
                </c:pt>
                <c:pt idx="3">
                  <c:v>1.015044E6</c:v>
                </c:pt>
                <c:pt idx="4">
                  <c:v>1.418946E6</c:v>
                </c:pt>
                <c:pt idx="5">
                  <c:v>1.835419E6</c:v>
                </c:pt>
                <c:pt idx="6">
                  <c:v>1.859849E6</c:v>
                </c:pt>
                <c:pt idx="7">
                  <c:v>2.055331E6</c:v>
                </c:pt>
                <c:pt idx="8">
                  <c:v>2.170752E6</c:v>
                </c:pt>
                <c:pt idx="9">
                  <c:v>2.766498E6</c:v>
                </c:pt>
                <c:pt idx="10">
                  <c:v>2.819409E6</c:v>
                </c:pt>
                <c:pt idx="11">
                  <c:v>2.639717E6</c:v>
                </c:pt>
              </c:numCache>
            </c:numRef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'Month S&amp;P'!$DL$3:$DL$14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'Month S&amp;P'!$EM$3:$EM$14</c:f>
              <c:numCache>
                <c:formatCode>#,##0_);[Red]\(#,##0\)</c:formatCode>
                <c:ptCount val="12"/>
                <c:pt idx="0">
                  <c:v>-73481.88322222223</c:v>
                </c:pt>
                <c:pt idx="1">
                  <c:v>-159817.9662222222</c:v>
                </c:pt>
                <c:pt idx="2">
                  <c:v>-160049.6103333333</c:v>
                </c:pt>
                <c:pt idx="3">
                  <c:v>-194920.4166111111</c:v>
                </c:pt>
                <c:pt idx="4">
                  <c:v>-175719.2649444444</c:v>
                </c:pt>
                <c:pt idx="5">
                  <c:v>-110280.8736111111</c:v>
                </c:pt>
                <c:pt idx="6">
                  <c:v>-127390.609</c:v>
                </c:pt>
                <c:pt idx="7">
                  <c:v>-42863.30266666664</c:v>
                </c:pt>
                <c:pt idx="8">
                  <c:v>4657.11844444443</c:v>
                </c:pt>
                <c:pt idx="9">
                  <c:v>53167.92749999996</c:v>
                </c:pt>
                <c:pt idx="10">
                  <c:v>159158.6367777778</c:v>
                </c:pt>
                <c:pt idx="11">
                  <c:v>128501.5081111111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161288"/>
        <c:axId val="-2137026248"/>
      </c:lineChart>
      <c:catAx>
        <c:axId val="-213716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6962962962963"/>
              <c:y val="0.930283224400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CCFFCC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2137026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37026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Profit, $'s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490196078431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FFFFFF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2137161288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1FB714" mc:Ignorable="a14" a14:legacySpreadsheetColorIndex="11"/>
            </a:gs>
            <a:gs pos="100000">
              <a:srgbClr xmlns:mc="http://schemas.openxmlformats.org/markup-compatibility/2006" xmlns:a14="http://schemas.microsoft.com/office/drawing/2010/main" val="0D4D08" mc:Ignorable="a14" a14:legacySpreadsheetColorIndex="11">
                <a:gamma/>
                <a:shade val="41961"/>
                <a:invGamma/>
              </a:srgbClr>
            </a:gs>
          </a:gsLst>
          <a:lin ang="5400000" scaled="1"/>
        </a:gra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006411" mc:Ignorable="a14" a14:legacySpreadsheetColorIndex="17"/>
        </a:gs>
        <a:gs pos="100000">
          <a:srgbClr xmlns:mc="http://schemas.openxmlformats.org/markup-compatibility/2006" xmlns:a14="http://schemas.microsoft.com/office/drawing/2010/main" val="002E08" mc:Ignorable="a14" a14:legacySpreadsheetColorIndex="17">
            <a:gamma/>
            <a:shade val="46275"/>
            <a:invGamma/>
          </a:srgbClr>
        </a:gs>
      </a:gsLst>
      <a:lin ang="5400000" scaled="1"/>
    </a:gradFill>
    <a:ln w="3175">
      <a:solidFill>
        <a:srgbClr val="CCFFCC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USA Rental 12 Month Rolling</a:t>
            </a:r>
          </a:p>
        </c:rich>
      </c:tx>
      <c:layout>
        <c:manualLayout>
          <c:xMode val="edge"/>
          <c:yMode val="edge"/>
          <c:x val="0.35407407407407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37037037037"/>
          <c:y val="0.122004357298475"/>
          <c:w val="0.708148148148148"/>
          <c:h val="0.73202614379085"/>
        </c:manualLayout>
      </c:layout>
      <c:barChart>
        <c:barDir val="col"/>
        <c:grouping val="clustered"/>
        <c:varyColors val="0"/>
        <c:ser>
          <c:idx val="1"/>
          <c:order val="0"/>
          <c:tx>
            <c:v>USA Rental Sales</c:v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'71 Data'!$A$27:$A$51</c:f>
              <c:numCache>
                <c:formatCode>mmm\-yy</c:formatCode>
                <c:ptCount val="25"/>
                <c:pt idx="0">
                  <c:v>35064.0</c:v>
                </c:pt>
                <c:pt idx="1">
                  <c:v>35095.0</c:v>
                </c:pt>
                <c:pt idx="2">
                  <c:v>35124.0</c:v>
                </c:pt>
                <c:pt idx="3">
                  <c:v>35155.0</c:v>
                </c:pt>
                <c:pt idx="4">
                  <c:v>35185.0</c:v>
                </c:pt>
                <c:pt idx="5">
                  <c:v>35216.0</c:v>
                </c:pt>
                <c:pt idx="6">
                  <c:v>35246.0</c:v>
                </c:pt>
                <c:pt idx="7">
                  <c:v>35277.0</c:v>
                </c:pt>
                <c:pt idx="8">
                  <c:v>35308.0</c:v>
                </c:pt>
                <c:pt idx="9">
                  <c:v>35338.0</c:v>
                </c:pt>
                <c:pt idx="10">
                  <c:v>35369.0</c:v>
                </c:pt>
                <c:pt idx="11">
                  <c:v>35399.0</c:v>
                </c:pt>
                <c:pt idx="12">
                  <c:v>35430.0</c:v>
                </c:pt>
                <c:pt idx="13">
                  <c:v>35461.0</c:v>
                </c:pt>
                <c:pt idx="14">
                  <c:v>35489.0</c:v>
                </c:pt>
                <c:pt idx="15">
                  <c:v>35520.0</c:v>
                </c:pt>
                <c:pt idx="16">
                  <c:v>35550.0</c:v>
                </c:pt>
                <c:pt idx="17">
                  <c:v>35581.0</c:v>
                </c:pt>
                <c:pt idx="18">
                  <c:v>35611.0</c:v>
                </c:pt>
                <c:pt idx="19">
                  <c:v>35642.0</c:v>
                </c:pt>
                <c:pt idx="20">
                  <c:v>35673.0</c:v>
                </c:pt>
                <c:pt idx="21">
                  <c:v>35703.0</c:v>
                </c:pt>
                <c:pt idx="22">
                  <c:v>35734.0</c:v>
                </c:pt>
                <c:pt idx="23">
                  <c:v>35764.0</c:v>
                </c:pt>
                <c:pt idx="24">
                  <c:v>35795.0</c:v>
                </c:pt>
              </c:numCache>
            </c:numRef>
          </c:cat>
          <c:val>
            <c:numRef>
              <c:f>'71 Data'!$C$27:$C$59</c:f>
              <c:numCache>
                <c:formatCode>"$"#,##0_);[Red]\("$"#,##0\)</c:formatCode>
                <c:ptCount val="33"/>
                <c:pt idx="0">
                  <c:v>4.6642E6</c:v>
                </c:pt>
                <c:pt idx="1">
                  <c:v>4.692218E6</c:v>
                </c:pt>
                <c:pt idx="2">
                  <c:v>4.685539E6</c:v>
                </c:pt>
                <c:pt idx="3">
                  <c:v>4.691551E6</c:v>
                </c:pt>
                <c:pt idx="4">
                  <c:v>4.860382E6</c:v>
                </c:pt>
                <c:pt idx="5">
                  <c:v>4.996288E6</c:v>
                </c:pt>
                <c:pt idx="6">
                  <c:v>4.995029E6</c:v>
                </c:pt>
                <c:pt idx="7">
                  <c:v>5.002453E6</c:v>
                </c:pt>
                <c:pt idx="8">
                  <c:v>5.022179E6</c:v>
                </c:pt>
                <c:pt idx="9">
                  <c:v>4.966683E6</c:v>
                </c:pt>
                <c:pt idx="10">
                  <c:v>4.900676E6</c:v>
                </c:pt>
                <c:pt idx="11">
                  <c:v>4.871711E6</c:v>
                </c:pt>
                <c:pt idx="12">
                  <c:v>4.886458E6</c:v>
                </c:pt>
                <c:pt idx="13">
                  <c:v>4.944619E6</c:v>
                </c:pt>
                <c:pt idx="14">
                  <c:v>5.034675E6</c:v>
                </c:pt>
                <c:pt idx="15">
                  <c:v>5.203322E6</c:v>
                </c:pt>
                <c:pt idx="16">
                  <c:v>5.29093E6</c:v>
                </c:pt>
                <c:pt idx="17">
                  <c:v>5.298808E6</c:v>
                </c:pt>
                <c:pt idx="18">
                  <c:v>5.349446E6</c:v>
                </c:pt>
                <c:pt idx="19">
                  <c:v>5.343311E6</c:v>
                </c:pt>
                <c:pt idx="20">
                  <c:v>5.377039E6</c:v>
                </c:pt>
                <c:pt idx="21">
                  <c:v>5.578842E6</c:v>
                </c:pt>
                <c:pt idx="22">
                  <c:v>5.765623E6</c:v>
                </c:pt>
                <c:pt idx="23">
                  <c:v>5.796903E6</c:v>
                </c:pt>
                <c:pt idx="24">
                  <c:v>5.817801E6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7148344"/>
        <c:axId val="-2137142344"/>
      </c:barChart>
      <c:lineChart>
        <c:grouping val="standard"/>
        <c:varyColors val="0"/>
        <c:ser>
          <c:idx val="2"/>
          <c:order val="1"/>
          <c:tx>
            <c:v>USA Rental Team Profit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'71 Data'!$A$27:$A$51</c:f>
              <c:numCache>
                <c:formatCode>mmm\-yy</c:formatCode>
                <c:ptCount val="25"/>
                <c:pt idx="0">
                  <c:v>35064.0</c:v>
                </c:pt>
                <c:pt idx="1">
                  <c:v>35095.0</c:v>
                </c:pt>
                <c:pt idx="2">
                  <c:v>35124.0</c:v>
                </c:pt>
                <c:pt idx="3">
                  <c:v>35155.0</c:v>
                </c:pt>
                <c:pt idx="4">
                  <c:v>35185.0</c:v>
                </c:pt>
                <c:pt idx="5">
                  <c:v>35216.0</c:v>
                </c:pt>
                <c:pt idx="6">
                  <c:v>35246.0</c:v>
                </c:pt>
                <c:pt idx="7">
                  <c:v>35277.0</c:v>
                </c:pt>
                <c:pt idx="8">
                  <c:v>35308.0</c:v>
                </c:pt>
                <c:pt idx="9">
                  <c:v>35338.0</c:v>
                </c:pt>
                <c:pt idx="10">
                  <c:v>35369.0</c:v>
                </c:pt>
                <c:pt idx="11">
                  <c:v>35399.0</c:v>
                </c:pt>
                <c:pt idx="12">
                  <c:v>35430.0</c:v>
                </c:pt>
                <c:pt idx="13">
                  <c:v>35461.0</c:v>
                </c:pt>
                <c:pt idx="14">
                  <c:v>35489.0</c:v>
                </c:pt>
                <c:pt idx="15">
                  <c:v>35520.0</c:v>
                </c:pt>
                <c:pt idx="16">
                  <c:v>35550.0</c:v>
                </c:pt>
                <c:pt idx="17">
                  <c:v>35581.0</c:v>
                </c:pt>
                <c:pt idx="18">
                  <c:v>35611.0</c:v>
                </c:pt>
                <c:pt idx="19">
                  <c:v>35642.0</c:v>
                </c:pt>
                <c:pt idx="20">
                  <c:v>35673.0</c:v>
                </c:pt>
                <c:pt idx="21">
                  <c:v>35703.0</c:v>
                </c:pt>
                <c:pt idx="22">
                  <c:v>35734.0</c:v>
                </c:pt>
                <c:pt idx="23">
                  <c:v>35764.0</c:v>
                </c:pt>
                <c:pt idx="24">
                  <c:v>35795.0</c:v>
                </c:pt>
              </c:numCache>
            </c:numRef>
          </c:cat>
          <c:val>
            <c:numRef>
              <c:f>'71 Data'!$F$27:$F$59</c:f>
              <c:numCache>
                <c:formatCode>"$"#,##0_);[Red]\("$"#,##0\)</c:formatCode>
                <c:ptCount val="33"/>
                <c:pt idx="0">
                  <c:v>1.759863E6</c:v>
                </c:pt>
                <c:pt idx="1">
                  <c:v>1.812183E6</c:v>
                </c:pt>
                <c:pt idx="2">
                  <c:v>1.88009E6</c:v>
                </c:pt>
                <c:pt idx="3">
                  <c:v>1.859538E6</c:v>
                </c:pt>
                <c:pt idx="4">
                  <c:v>1.999025E6</c:v>
                </c:pt>
                <c:pt idx="5">
                  <c:v>2.005578E6</c:v>
                </c:pt>
                <c:pt idx="6">
                  <c:v>1.966095E6</c:v>
                </c:pt>
                <c:pt idx="7">
                  <c:v>1.938223E6</c:v>
                </c:pt>
                <c:pt idx="8">
                  <c:v>1.951784E6</c:v>
                </c:pt>
                <c:pt idx="9">
                  <c:v>1.879272E6</c:v>
                </c:pt>
                <c:pt idx="10">
                  <c:v>1.866175E6</c:v>
                </c:pt>
                <c:pt idx="11">
                  <c:v>1.816344E6</c:v>
                </c:pt>
                <c:pt idx="12">
                  <c:v>1.816019E6</c:v>
                </c:pt>
                <c:pt idx="13">
                  <c:v>1.827107E6</c:v>
                </c:pt>
                <c:pt idx="14">
                  <c:v>1.81971E6</c:v>
                </c:pt>
                <c:pt idx="15">
                  <c:v>1.955539E6</c:v>
                </c:pt>
                <c:pt idx="16">
                  <c:v>1.985292E6</c:v>
                </c:pt>
                <c:pt idx="17">
                  <c:v>2.054286E6</c:v>
                </c:pt>
                <c:pt idx="18">
                  <c:v>2.054489E6</c:v>
                </c:pt>
                <c:pt idx="19">
                  <c:v>2.067286E6</c:v>
                </c:pt>
                <c:pt idx="20">
                  <c:v>2.079473E6</c:v>
                </c:pt>
                <c:pt idx="21">
                  <c:v>2.233546E6</c:v>
                </c:pt>
                <c:pt idx="22">
                  <c:v>2.410009E6</c:v>
                </c:pt>
                <c:pt idx="23">
                  <c:v>2.327964E6</c:v>
                </c:pt>
                <c:pt idx="24">
                  <c:v>2.326221E6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7164008"/>
        <c:axId val="-2137185992"/>
      </c:lineChart>
      <c:catAx>
        <c:axId val="-2137148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59259259259259"/>
              <c:y val="0.94989106753812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7142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371423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7148344"/>
        <c:crosses val="autoZero"/>
        <c:crossBetween val="between"/>
      </c:valAx>
      <c:catAx>
        <c:axId val="-21371640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2137185992"/>
        <c:crosses val="autoZero"/>
        <c:auto val="0"/>
        <c:lblAlgn val="ctr"/>
        <c:lblOffset val="100"/>
        <c:noMultiLvlLbl val="0"/>
      </c:catAx>
      <c:valAx>
        <c:axId val="-213718599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933333333333333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371640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925925925926"/>
          <c:y val="0.143790849673203"/>
          <c:w val="0.259259259259259"/>
          <c:h val="0.0871459694989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CAE Europe Projections</a:t>
            </a:r>
          </a:p>
        </c:rich>
      </c:tx>
      <c:layout>
        <c:manualLayout>
          <c:xMode val="edge"/>
          <c:yMode val="edge"/>
          <c:x val="0.37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888888888889"/>
          <c:y val="0.130718954248366"/>
          <c:w val="0.765925925925926"/>
          <c:h val="0.830065359477124"/>
        </c:manualLayout>
      </c:layout>
      <c:lineChart>
        <c:grouping val="standard"/>
        <c:varyColors val="0"/>
        <c:ser>
          <c:idx val="1"/>
          <c:order val="0"/>
          <c:tx>
            <c:strRef>
              <c:f>'CAEE Data'!$I$4</c:f>
              <c:strCache>
                <c:ptCount val="1"/>
                <c:pt idx="0">
                  <c:v>France Equip Sales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Data'!$I$16:$I$136</c:f>
              <c:numCache>
                <c:formatCode>"$"#,##0_);[Red]\("$"#,##0\)</c:formatCode>
                <c:ptCount val="121"/>
                <c:pt idx="0">
                  <c:v>3032.0</c:v>
                </c:pt>
                <c:pt idx="1">
                  <c:v>17171.0</c:v>
                </c:pt>
                <c:pt idx="2">
                  <c:v>16649.0</c:v>
                </c:pt>
                <c:pt idx="3">
                  <c:v>8026.0</c:v>
                </c:pt>
                <c:pt idx="4">
                  <c:v>33501.0</c:v>
                </c:pt>
                <c:pt idx="5">
                  <c:v>18531.5</c:v>
                </c:pt>
                <c:pt idx="6">
                  <c:v>28643.0</c:v>
                </c:pt>
                <c:pt idx="7">
                  <c:v>15897.0</c:v>
                </c:pt>
                <c:pt idx="8">
                  <c:v>22784.0</c:v>
                </c:pt>
                <c:pt idx="9">
                  <c:v>8237.0</c:v>
                </c:pt>
                <c:pt idx="10">
                  <c:v>0.0</c:v>
                </c:pt>
                <c:pt idx="11">
                  <c:v>23451.0</c:v>
                </c:pt>
                <c:pt idx="12">
                  <c:v>71085.0</c:v>
                </c:pt>
                <c:pt idx="13">
                  <c:v>27298.0</c:v>
                </c:pt>
                <c:pt idx="14">
                  <c:v>23048.0</c:v>
                </c:pt>
                <c:pt idx="15">
                  <c:v>19235.0</c:v>
                </c:pt>
                <c:pt idx="16">
                  <c:v>22714.0</c:v>
                </c:pt>
                <c:pt idx="17">
                  <c:v>54801.0</c:v>
                </c:pt>
                <c:pt idx="18">
                  <c:v>1441.0</c:v>
                </c:pt>
                <c:pt idx="19">
                  <c:v>17414.0</c:v>
                </c:pt>
                <c:pt idx="20">
                  <c:v>2437.0</c:v>
                </c:pt>
                <c:pt idx="21">
                  <c:v>57680.0</c:v>
                </c:pt>
                <c:pt idx="22">
                  <c:v>7669.0</c:v>
                </c:pt>
                <c:pt idx="23">
                  <c:v>-905.0</c:v>
                </c:pt>
                <c:pt idx="24">
                  <c:v>70783.0</c:v>
                </c:pt>
                <c:pt idx="25">
                  <c:v>37375.0</c:v>
                </c:pt>
                <c:pt idx="26">
                  <c:v>57965.0</c:v>
                </c:pt>
                <c:pt idx="27">
                  <c:v>22073.0</c:v>
                </c:pt>
                <c:pt idx="28">
                  <c:v>55172.0</c:v>
                </c:pt>
                <c:pt idx="29">
                  <c:v>26309.0</c:v>
                </c:pt>
                <c:pt idx="30">
                  <c:v>65884.0</c:v>
                </c:pt>
                <c:pt idx="31">
                  <c:v>53769.0</c:v>
                </c:pt>
                <c:pt idx="32">
                  <c:v>53484.0</c:v>
                </c:pt>
                <c:pt idx="33">
                  <c:v>57507.0</c:v>
                </c:pt>
                <c:pt idx="34">
                  <c:v>23471.0</c:v>
                </c:pt>
                <c:pt idx="35">
                  <c:v>6778.0</c:v>
                </c:pt>
                <c:pt idx="36">
                  <c:v>22494.0</c:v>
                </c:pt>
                <c:pt idx="37">
                  <c:v>23445.0</c:v>
                </c:pt>
                <c:pt idx="38">
                  <c:v>73566.0</c:v>
                </c:pt>
                <c:pt idx="39">
                  <c:v>28050.0</c:v>
                </c:pt>
                <c:pt idx="40">
                  <c:v>47911.0</c:v>
                </c:pt>
                <c:pt idx="41">
                  <c:v>31589.0</c:v>
                </c:pt>
                <c:pt idx="42">
                  <c:v>18143.0</c:v>
                </c:pt>
                <c:pt idx="43">
                  <c:v>5595.0</c:v>
                </c:pt>
                <c:pt idx="44">
                  <c:v>7717.0</c:v>
                </c:pt>
                <c:pt idx="45">
                  <c:v>35215.0</c:v>
                </c:pt>
                <c:pt idx="46">
                  <c:v>37654.0</c:v>
                </c:pt>
                <c:pt idx="47">
                  <c:v>21806.0</c:v>
                </c:pt>
                <c:pt idx="48">
                  <c:v>59058.0</c:v>
                </c:pt>
                <c:pt idx="49">
                  <c:v>4308.0</c:v>
                </c:pt>
                <c:pt idx="50">
                  <c:v>6011.0</c:v>
                </c:pt>
                <c:pt idx="51">
                  <c:v>60112.0</c:v>
                </c:pt>
                <c:pt idx="52">
                  <c:v>48908.0</c:v>
                </c:pt>
                <c:pt idx="53">
                  <c:v>66460.0</c:v>
                </c:pt>
                <c:pt idx="54">
                  <c:v>38457.0</c:v>
                </c:pt>
                <c:pt idx="55">
                  <c:v>52139.0</c:v>
                </c:pt>
                <c:pt idx="56">
                  <c:v>23443.0</c:v>
                </c:pt>
                <c:pt idx="57">
                  <c:v>17601.0</c:v>
                </c:pt>
                <c:pt idx="58">
                  <c:v>11818.0</c:v>
                </c:pt>
                <c:pt idx="59">
                  <c:v>5688.0</c:v>
                </c:pt>
                <c:pt idx="60">
                  <c:v>17148.0</c:v>
                </c:pt>
                <c:pt idx="61">
                  <c:v>26306.0</c:v>
                </c:pt>
                <c:pt idx="62">
                  <c:v>9970.0</c:v>
                </c:pt>
                <c:pt idx="63">
                  <c:v>7391.0</c:v>
                </c:pt>
                <c:pt idx="64">
                  <c:v>1075.0</c:v>
                </c:pt>
                <c:pt idx="65">
                  <c:v>24116.0</c:v>
                </c:pt>
                <c:pt idx="66">
                  <c:v>0.0</c:v>
                </c:pt>
                <c:pt idx="67">
                  <c:v>9576.0</c:v>
                </c:pt>
                <c:pt idx="68">
                  <c:v>16197.0</c:v>
                </c:pt>
                <c:pt idx="69">
                  <c:v>1868.0</c:v>
                </c:pt>
                <c:pt idx="70">
                  <c:v>2624.0</c:v>
                </c:pt>
                <c:pt idx="71">
                  <c:v>5698.0</c:v>
                </c:pt>
                <c:pt idx="72">
                  <c:v>2716.0</c:v>
                </c:pt>
                <c:pt idx="73">
                  <c:v>21910.0</c:v>
                </c:pt>
                <c:pt idx="74">
                  <c:v>36610.0</c:v>
                </c:pt>
                <c:pt idx="75">
                  <c:v>26437.0</c:v>
                </c:pt>
                <c:pt idx="76">
                  <c:v>10493.0</c:v>
                </c:pt>
                <c:pt idx="77">
                  <c:v>58678.0</c:v>
                </c:pt>
                <c:pt idx="78">
                  <c:v>446.0</c:v>
                </c:pt>
                <c:pt idx="79">
                  <c:v>21613.0</c:v>
                </c:pt>
                <c:pt idx="80">
                  <c:v>10126.0</c:v>
                </c:pt>
                <c:pt idx="81">
                  <c:v>4910.0</c:v>
                </c:pt>
                <c:pt idx="82">
                  <c:v>48276.0</c:v>
                </c:pt>
                <c:pt idx="83">
                  <c:v>6181.0</c:v>
                </c:pt>
                <c:pt idx="84">
                  <c:v>15542.0</c:v>
                </c:pt>
                <c:pt idx="85">
                  <c:v>10876.0</c:v>
                </c:pt>
                <c:pt idx="86">
                  <c:v>31485.0</c:v>
                </c:pt>
                <c:pt idx="87">
                  <c:v>32711.0</c:v>
                </c:pt>
                <c:pt idx="88">
                  <c:v>13048.0</c:v>
                </c:pt>
                <c:pt idx="89">
                  <c:v>18023.0</c:v>
                </c:pt>
                <c:pt idx="90">
                  <c:v>16751.0</c:v>
                </c:pt>
                <c:pt idx="91">
                  <c:v>5296.0</c:v>
                </c:pt>
                <c:pt idx="92">
                  <c:v>6396.0</c:v>
                </c:pt>
                <c:pt idx="93">
                  <c:v>117463.0</c:v>
                </c:pt>
                <c:pt idx="94">
                  <c:v>36976.0</c:v>
                </c:pt>
                <c:pt idx="95">
                  <c:v>7327.0</c:v>
                </c:pt>
                <c:pt idx="96">
                  <c:v>27678.0</c:v>
                </c:pt>
                <c:pt idx="97">
                  <c:v>51791.0</c:v>
                </c:pt>
                <c:pt idx="98">
                  <c:v>16249.0</c:v>
                </c:pt>
                <c:pt idx="99">
                  <c:v>22976.0</c:v>
                </c:pt>
                <c:pt idx="100">
                  <c:v>13344.0</c:v>
                </c:pt>
                <c:pt idx="101">
                  <c:v>11036.0</c:v>
                </c:pt>
                <c:pt idx="102">
                  <c:v>7271.0</c:v>
                </c:pt>
                <c:pt idx="103">
                  <c:v>10203.0</c:v>
                </c:pt>
                <c:pt idx="104">
                  <c:v>13477.0</c:v>
                </c:pt>
                <c:pt idx="105">
                  <c:v>38838.0</c:v>
                </c:pt>
                <c:pt idx="106">
                  <c:v>7786.0</c:v>
                </c:pt>
                <c:pt idx="107">
                  <c:v>20519.0</c:v>
                </c:pt>
                <c:pt idx="108">
                  <c:v>56903.0</c:v>
                </c:pt>
                <c:pt idx="109">
                  <c:v>35336.0</c:v>
                </c:pt>
                <c:pt idx="110">
                  <c:v>55964.0</c:v>
                </c:pt>
                <c:pt idx="111">
                  <c:v>16324.0</c:v>
                </c:pt>
                <c:pt idx="112">
                  <c:v>40720.0</c:v>
                </c:pt>
                <c:pt idx="113">
                  <c:v>26315.0</c:v>
                </c:pt>
                <c:pt idx="114">
                  <c:v>24759.0</c:v>
                </c:pt>
                <c:pt idx="115">
                  <c:v>13849.0</c:v>
                </c:pt>
                <c:pt idx="116">
                  <c:v>36608.0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'CAEE Data'!$O$4</c:f>
              <c:strCache>
                <c:ptCount val="1"/>
                <c:pt idx="0">
                  <c:v>France Rental + Rent Field + Disposal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Data'!$O$16:$O$136</c:f>
              <c:numCache>
                <c:formatCode>"$"#,##0_);[Red]\("$"#,##0\)</c:formatCode>
                <c:ptCount val="121"/>
                <c:pt idx="0">
                  <c:v>43184.0</c:v>
                </c:pt>
                <c:pt idx="1">
                  <c:v>36079.0</c:v>
                </c:pt>
                <c:pt idx="2">
                  <c:v>18149.0</c:v>
                </c:pt>
                <c:pt idx="3">
                  <c:v>48468.0</c:v>
                </c:pt>
                <c:pt idx="4">
                  <c:v>33303.0</c:v>
                </c:pt>
                <c:pt idx="5">
                  <c:v>40476.5</c:v>
                </c:pt>
                <c:pt idx="6">
                  <c:v>33846.0</c:v>
                </c:pt>
                <c:pt idx="7">
                  <c:v>32182.0</c:v>
                </c:pt>
                <c:pt idx="8">
                  <c:v>23057.0</c:v>
                </c:pt>
                <c:pt idx="9">
                  <c:v>33562.0</c:v>
                </c:pt>
                <c:pt idx="10">
                  <c:v>36516.0</c:v>
                </c:pt>
                <c:pt idx="11">
                  <c:v>43593.0</c:v>
                </c:pt>
                <c:pt idx="12">
                  <c:v>32510.0</c:v>
                </c:pt>
                <c:pt idx="13">
                  <c:v>28044.0</c:v>
                </c:pt>
                <c:pt idx="14">
                  <c:v>37825.0</c:v>
                </c:pt>
                <c:pt idx="15">
                  <c:v>50790.0</c:v>
                </c:pt>
                <c:pt idx="16">
                  <c:v>62866.0</c:v>
                </c:pt>
                <c:pt idx="17">
                  <c:v>35061.0</c:v>
                </c:pt>
                <c:pt idx="18">
                  <c:v>57699.0</c:v>
                </c:pt>
                <c:pt idx="19">
                  <c:v>46554.0</c:v>
                </c:pt>
                <c:pt idx="20">
                  <c:v>20731.0</c:v>
                </c:pt>
                <c:pt idx="21">
                  <c:v>20074.0</c:v>
                </c:pt>
                <c:pt idx="22">
                  <c:v>34112.0</c:v>
                </c:pt>
                <c:pt idx="23">
                  <c:v>39289.0</c:v>
                </c:pt>
                <c:pt idx="24">
                  <c:v>60142.0</c:v>
                </c:pt>
                <c:pt idx="25">
                  <c:v>19090.0</c:v>
                </c:pt>
                <c:pt idx="26">
                  <c:v>43657.0</c:v>
                </c:pt>
                <c:pt idx="27">
                  <c:v>56480.0</c:v>
                </c:pt>
                <c:pt idx="28">
                  <c:v>49186.0</c:v>
                </c:pt>
                <c:pt idx="29">
                  <c:v>38937.0</c:v>
                </c:pt>
                <c:pt idx="30">
                  <c:v>58646.0</c:v>
                </c:pt>
                <c:pt idx="31">
                  <c:v>28141.0</c:v>
                </c:pt>
                <c:pt idx="32">
                  <c:v>44697.0</c:v>
                </c:pt>
                <c:pt idx="33">
                  <c:v>41705.0</c:v>
                </c:pt>
                <c:pt idx="34">
                  <c:v>37863.0</c:v>
                </c:pt>
                <c:pt idx="35">
                  <c:v>67098.0</c:v>
                </c:pt>
                <c:pt idx="36">
                  <c:v>73478.0</c:v>
                </c:pt>
                <c:pt idx="37">
                  <c:v>22483.0</c:v>
                </c:pt>
                <c:pt idx="38">
                  <c:v>34648.0</c:v>
                </c:pt>
                <c:pt idx="39">
                  <c:v>19350.0</c:v>
                </c:pt>
                <c:pt idx="40">
                  <c:v>55508.0</c:v>
                </c:pt>
                <c:pt idx="41">
                  <c:v>59017.0</c:v>
                </c:pt>
                <c:pt idx="42">
                  <c:v>34253.0</c:v>
                </c:pt>
                <c:pt idx="43">
                  <c:v>48168.0</c:v>
                </c:pt>
                <c:pt idx="44">
                  <c:v>43871.0</c:v>
                </c:pt>
                <c:pt idx="45">
                  <c:v>37058.0</c:v>
                </c:pt>
                <c:pt idx="46">
                  <c:v>28344.0</c:v>
                </c:pt>
                <c:pt idx="47">
                  <c:v>76785.0</c:v>
                </c:pt>
                <c:pt idx="48">
                  <c:v>48848.0</c:v>
                </c:pt>
                <c:pt idx="49">
                  <c:v>54025.0</c:v>
                </c:pt>
                <c:pt idx="50">
                  <c:v>22504.0</c:v>
                </c:pt>
                <c:pt idx="51">
                  <c:v>68265.0</c:v>
                </c:pt>
                <c:pt idx="52">
                  <c:v>49285.0</c:v>
                </c:pt>
                <c:pt idx="53">
                  <c:v>83329.0</c:v>
                </c:pt>
                <c:pt idx="54">
                  <c:v>60890.0</c:v>
                </c:pt>
                <c:pt idx="55">
                  <c:v>77979.0</c:v>
                </c:pt>
                <c:pt idx="56">
                  <c:v>50255.0</c:v>
                </c:pt>
                <c:pt idx="57">
                  <c:v>72763.0</c:v>
                </c:pt>
                <c:pt idx="58">
                  <c:v>86846.0</c:v>
                </c:pt>
                <c:pt idx="59">
                  <c:v>59268.0</c:v>
                </c:pt>
                <c:pt idx="60">
                  <c:v>69556.0</c:v>
                </c:pt>
                <c:pt idx="61">
                  <c:v>47591.0</c:v>
                </c:pt>
                <c:pt idx="62">
                  <c:v>53082.0</c:v>
                </c:pt>
                <c:pt idx="63">
                  <c:v>57120.0</c:v>
                </c:pt>
                <c:pt idx="64">
                  <c:v>40075.0</c:v>
                </c:pt>
                <c:pt idx="65">
                  <c:v>52112.0</c:v>
                </c:pt>
                <c:pt idx="66">
                  <c:v>73975.0</c:v>
                </c:pt>
                <c:pt idx="67">
                  <c:v>78234.0</c:v>
                </c:pt>
                <c:pt idx="68">
                  <c:v>51067.0</c:v>
                </c:pt>
                <c:pt idx="69">
                  <c:v>32443.0</c:v>
                </c:pt>
                <c:pt idx="70">
                  <c:v>79701.0</c:v>
                </c:pt>
                <c:pt idx="71">
                  <c:v>77239.0</c:v>
                </c:pt>
                <c:pt idx="72">
                  <c:v>138088.0</c:v>
                </c:pt>
                <c:pt idx="73">
                  <c:v>59918.0</c:v>
                </c:pt>
                <c:pt idx="74">
                  <c:v>50172.0</c:v>
                </c:pt>
                <c:pt idx="75">
                  <c:v>57743.0</c:v>
                </c:pt>
                <c:pt idx="76">
                  <c:v>29767.0</c:v>
                </c:pt>
                <c:pt idx="77">
                  <c:v>69309.0</c:v>
                </c:pt>
                <c:pt idx="78">
                  <c:v>61505.0</c:v>
                </c:pt>
                <c:pt idx="79">
                  <c:v>66203.0</c:v>
                </c:pt>
                <c:pt idx="80">
                  <c:v>63635.0</c:v>
                </c:pt>
                <c:pt idx="81">
                  <c:v>70570.0</c:v>
                </c:pt>
                <c:pt idx="82">
                  <c:v>97992.0</c:v>
                </c:pt>
                <c:pt idx="83">
                  <c:v>152445.0</c:v>
                </c:pt>
                <c:pt idx="84" formatCode="General_)">
                  <c:v>62516.0</c:v>
                </c:pt>
                <c:pt idx="85">
                  <c:v>42225.0</c:v>
                </c:pt>
                <c:pt idx="86">
                  <c:v>54833.0</c:v>
                </c:pt>
                <c:pt idx="87">
                  <c:v>48274.0</c:v>
                </c:pt>
                <c:pt idx="88">
                  <c:v>43199.0</c:v>
                </c:pt>
                <c:pt idx="89">
                  <c:v>75545.0</c:v>
                </c:pt>
                <c:pt idx="90">
                  <c:v>56981.0</c:v>
                </c:pt>
                <c:pt idx="91">
                  <c:v>104424.0</c:v>
                </c:pt>
                <c:pt idx="92">
                  <c:v>79193.0</c:v>
                </c:pt>
                <c:pt idx="93">
                  <c:v>33351.0</c:v>
                </c:pt>
                <c:pt idx="94">
                  <c:v>109505.0</c:v>
                </c:pt>
                <c:pt idx="95">
                  <c:v>105251.0</c:v>
                </c:pt>
                <c:pt idx="96">
                  <c:v>77499.0</c:v>
                </c:pt>
                <c:pt idx="97">
                  <c:v>54384.0</c:v>
                </c:pt>
                <c:pt idx="98">
                  <c:v>52117.0</c:v>
                </c:pt>
                <c:pt idx="99">
                  <c:v>87836.0</c:v>
                </c:pt>
                <c:pt idx="100">
                  <c:v>45038.0</c:v>
                </c:pt>
                <c:pt idx="101">
                  <c:v>64212.0</c:v>
                </c:pt>
                <c:pt idx="102">
                  <c:v>114033.0</c:v>
                </c:pt>
                <c:pt idx="103">
                  <c:v>106418.0</c:v>
                </c:pt>
                <c:pt idx="104">
                  <c:v>56030.0</c:v>
                </c:pt>
                <c:pt idx="105">
                  <c:v>118607.0</c:v>
                </c:pt>
                <c:pt idx="106">
                  <c:v>135253.0</c:v>
                </c:pt>
                <c:pt idx="107">
                  <c:v>114801.0</c:v>
                </c:pt>
                <c:pt idx="108">
                  <c:v>184833.0</c:v>
                </c:pt>
                <c:pt idx="109">
                  <c:v>86720.0</c:v>
                </c:pt>
                <c:pt idx="110">
                  <c:v>78507.0</c:v>
                </c:pt>
                <c:pt idx="111">
                  <c:v>115348.0</c:v>
                </c:pt>
                <c:pt idx="112">
                  <c:v>134537.0</c:v>
                </c:pt>
                <c:pt idx="113">
                  <c:v>50492.0</c:v>
                </c:pt>
                <c:pt idx="114">
                  <c:v>146972.0</c:v>
                </c:pt>
                <c:pt idx="115">
                  <c:v>131827.0</c:v>
                </c:pt>
                <c:pt idx="116">
                  <c:v>55029.0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'CAEE Data'!$L$4</c:f>
              <c:strCache>
                <c:ptCount val="1"/>
                <c:pt idx="0">
                  <c:v>Rental Sales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Data'!$L$16:$L$136</c:f>
              <c:numCache>
                <c:formatCode>General_)</c:formatCode>
                <c:ptCount val="121"/>
                <c:pt idx="58" formatCode="&quot;$&quot;#,##0_);[Red]\(&quot;$&quot;#,##0\)">
                  <c:v>76140.0</c:v>
                </c:pt>
                <c:pt idx="59" formatCode="&quot;$&quot;#,##0_);[Red]\(&quot;$&quot;#,##0\)">
                  <c:v>56484.0</c:v>
                </c:pt>
                <c:pt idx="60" formatCode="&quot;$&quot;#,##0_);[Red]\(&quot;$&quot;#,##0\)">
                  <c:v>68225.0</c:v>
                </c:pt>
                <c:pt idx="61" formatCode="&quot;$&quot;#,##0_);[Red]\(&quot;$&quot;#,##0\)">
                  <c:v>48930.0</c:v>
                </c:pt>
                <c:pt idx="62" formatCode="&quot;$&quot;#,##0_);[Red]\(&quot;$&quot;#,##0\)">
                  <c:v>53082.0</c:v>
                </c:pt>
                <c:pt idx="63" formatCode="&quot;$&quot;#,##0_);[Red]\(&quot;$&quot;#,##0\)">
                  <c:v>57120.0</c:v>
                </c:pt>
                <c:pt idx="64" formatCode="&quot;$&quot;#,##0_);[Red]\(&quot;$&quot;#,##0\)">
                  <c:v>40075.0</c:v>
                </c:pt>
                <c:pt idx="65" formatCode="&quot;$&quot;#,##0_);[Red]\(&quot;$&quot;#,##0\)">
                  <c:v>52112.0</c:v>
                </c:pt>
                <c:pt idx="66" formatCode="&quot;$&quot;#,##0_);[Red]\(&quot;$&quot;#,##0\)">
                  <c:v>73975.0</c:v>
                </c:pt>
                <c:pt idx="67" formatCode="&quot;$&quot;#,##0_);[Red]\(&quot;$&quot;#,##0\)">
                  <c:v>78234.0</c:v>
                </c:pt>
                <c:pt idx="68" formatCode="&quot;$&quot;#,##0_);[Red]\(&quot;$&quot;#,##0\)">
                  <c:v>51067.0</c:v>
                </c:pt>
                <c:pt idx="69">
                  <c:v>32443.0</c:v>
                </c:pt>
                <c:pt idx="70">
                  <c:v>79701.0</c:v>
                </c:pt>
                <c:pt idx="71" formatCode="&quot;$&quot;#,##0_);[Red]\(&quot;$&quot;#,##0\)">
                  <c:v>77239.0</c:v>
                </c:pt>
                <c:pt idx="72">
                  <c:v>138088.0</c:v>
                </c:pt>
                <c:pt idx="73">
                  <c:v>59918.0</c:v>
                </c:pt>
                <c:pt idx="74">
                  <c:v>50172.0</c:v>
                </c:pt>
                <c:pt idx="75">
                  <c:v>57743.0</c:v>
                </c:pt>
                <c:pt idx="76">
                  <c:v>29767.0</c:v>
                </c:pt>
                <c:pt idx="77">
                  <c:v>67568.0</c:v>
                </c:pt>
                <c:pt idx="78">
                  <c:v>61505.0</c:v>
                </c:pt>
                <c:pt idx="79" formatCode="_(&quot;$&quot;* #,##0_);_(&quot;$&quot;* \(#,##0\);_(&quot;$&quot;* &quot;-&quot;??_);_(@_)">
                  <c:v>66203.0</c:v>
                </c:pt>
                <c:pt idx="80">
                  <c:v>63635.0</c:v>
                </c:pt>
                <c:pt idx="81">
                  <c:v>70570.0</c:v>
                </c:pt>
                <c:pt idx="82">
                  <c:v>97992.0</c:v>
                </c:pt>
                <c:pt idx="83">
                  <c:v>152445.0</c:v>
                </c:pt>
                <c:pt idx="84">
                  <c:v>53778.0</c:v>
                </c:pt>
                <c:pt idx="85">
                  <c:v>32065.0</c:v>
                </c:pt>
                <c:pt idx="86">
                  <c:v>54833.0</c:v>
                </c:pt>
                <c:pt idx="87">
                  <c:v>48274.0</c:v>
                </c:pt>
                <c:pt idx="88">
                  <c:v>43199.0</c:v>
                </c:pt>
                <c:pt idx="89">
                  <c:v>75545.0</c:v>
                </c:pt>
                <c:pt idx="90">
                  <c:v>56981.0</c:v>
                </c:pt>
                <c:pt idx="91">
                  <c:v>104424.0</c:v>
                </c:pt>
                <c:pt idx="92">
                  <c:v>79193.0</c:v>
                </c:pt>
                <c:pt idx="93">
                  <c:v>33351.0</c:v>
                </c:pt>
                <c:pt idx="94">
                  <c:v>109505.0</c:v>
                </c:pt>
                <c:pt idx="95">
                  <c:v>100244.0</c:v>
                </c:pt>
                <c:pt idx="96">
                  <c:v>77499.0</c:v>
                </c:pt>
                <c:pt idx="97">
                  <c:v>54384.0</c:v>
                </c:pt>
                <c:pt idx="98">
                  <c:v>52117.0</c:v>
                </c:pt>
                <c:pt idx="99">
                  <c:v>87836.0</c:v>
                </c:pt>
                <c:pt idx="100">
                  <c:v>45038.0</c:v>
                </c:pt>
                <c:pt idx="101">
                  <c:v>57957.0</c:v>
                </c:pt>
                <c:pt idx="102">
                  <c:v>114033.0</c:v>
                </c:pt>
                <c:pt idx="103">
                  <c:v>106418.0</c:v>
                </c:pt>
                <c:pt idx="104">
                  <c:v>56030.0</c:v>
                </c:pt>
                <c:pt idx="105">
                  <c:v>103051.0</c:v>
                </c:pt>
                <c:pt idx="106">
                  <c:v>135253.0</c:v>
                </c:pt>
                <c:pt idx="107">
                  <c:v>114801.0</c:v>
                </c:pt>
                <c:pt idx="108">
                  <c:v>184833.0</c:v>
                </c:pt>
                <c:pt idx="109">
                  <c:v>86720.0</c:v>
                </c:pt>
                <c:pt idx="110">
                  <c:v>78507.0</c:v>
                </c:pt>
                <c:pt idx="111">
                  <c:v>115348.0</c:v>
                </c:pt>
                <c:pt idx="112">
                  <c:v>134537.0</c:v>
                </c:pt>
                <c:pt idx="113">
                  <c:v>50492.0</c:v>
                </c:pt>
                <c:pt idx="114">
                  <c:v>146972.0</c:v>
                </c:pt>
                <c:pt idx="115">
                  <c:v>131827.0</c:v>
                </c:pt>
                <c:pt idx="116">
                  <c:v>55029.0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833032"/>
        <c:axId val="-2048824744"/>
      </c:lineChart>
      <c:lineChart>
        <c:grouping val="standard"/>
        <c:varyColors val="0"/>
        <c:ser>
          <c:idx val="3"/>
          <c:order val="3"/>
          <c:tx>
            <c:strRef>
              <c:f>'CAEE Data'!$R$4</c:f>
              <c:strCache>
                <c:ptCount val="1"/>
                <c:pt idx="0">
                  <c:v>12 mon Rent Sales</c:v>
                </c:pt>
              </c:strCache>
            </c:strRef>
          </c:tx>
          <c:spPr>
            <a:ln w="38100">
              <a:solidFill>
                <a:srgbClr val="9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Data'!$R$16:$R$136</c:f>
              <c:numCache>
                <c:formatCode>"$"#,##0_);[Red]\("$"#,##0\)</c:formatCode>
                <c:ptCount val="121"/>
                <c:pt idx="0">
                  <c:v>493490.0</c:v>
                </c:pt>
                <c:pt idx="1">
                  <c:v>494985.0</c:v>
                </c:pt>
                <c:pt idx="2">
                  <c:v>488985.0</c:v>
                </c:pt>
                <c:pt idx="3">
                  <c:v>507820.0</c:v>
                </c:pt>
                <c:pt idx="4">
                  <c:v>516547.0</c:v>
                </c:pt>
                <c:pt idx="5">
                  <c:v>529185.5</c:v>
                </c:pt>
                <c:pt idx="6">
                  <c:v>517280.5</c:v>
                </c:pt>
                <c:pt idx="7">
                  <c:v>503386.5</c:v>
                </c:pt>
                <c:pt idx="8">
                  <c:v>508352.5</c:v>
                </c:pt>
                <c:pt idx="9">
                  <c:v>453091.5</c:v>
                </c:pt>
                <c:pt idx="10">
                  <c:v>444317.5</c:v>
                </c:pt>
                <c:pt idx="11">
                  <c:v>422415.5</c:v>
                </c:pt>
                <c:pt idx="12">
                  <c:v>411741.5</c:v>
                </c:pt>
                <c:pt idx="13">
                  <c:v>403706.5</c:v>
                </c:pt>
                <c:pt idx="14">
                  <c:v>423382.5</c:v>
                </c:pt>
                <c:pt idx="15">
                  <c:v>425704.5</c:v>
                </c:pt>
                <c:pt idx="16">
                  <c:v>455267.5</c:v>
                </c:pt>
                <c:pt idx="17">
                  <c:v>449852.0</c:v>
                </c:pt>
                <c:pt idx="18">
                  <c:v>473705.0</c:v>
                </c:pt>
                <c:pt idx="19">
                  <c:v>488077.0</c:v>
                </c:pt>
                <c:pt idx="20">
                  <c:v>485751.0</c:v>
                </c:pt>
                <c:pt idx="21">
                  <c:v>472263.0</c:v>
                </c:pt>
                <c:pt idx="22">
                  <c:v>469859.0</c:v>
                </c:pt>
                <c:pt idx="23">
                  <c:v>465555.0</c:v>
                </c:pt>
                <c:pt idx="24">
                  <c:v>493187.0</c:v>
                </c:pt>
                <c:pt idx="25">
                  <c:v>484233.0</c:v>
                </c:pt>
                <c:pt idx="26">
                  <c:v>490065.0</c:v>
                </c:pt>
                <c:pt idx="27">
                  <c:v>495755.0</c:v>
                </c:pt>
                <c:pt idx="28">
                  <c:v>482075.0</c:v>
                </c:pt>
                <c:pt idx="29">
                  <c:v>485951.0</c:v>
                </c:pt>
                <c:pt idx="30">
                  <c:v>486898.0</c:v>
                </c:pt>
                <c:pt idx="31">
                  <c:v>468485.0</c:v>
                </c:pt>
                <c:pt idx="32">
                  <c:v>492451.0</c:v>
                </c:pt>
                <c:pt idx="33">
                  <c:v>514082.0</c:v>
                </c:pt>
                <c:pt idx="34">
                  <c:v>517833.0</c:v>
                </c:pt>
                <c:pt idx="35">
                  <c:v>545642.0</c:v>
                </c:pt>
                <c:pt idx="36">
                  <c:v>558978.0</c:v>
                </c:pt>
                <c:pt idx="37" formatCode="General_)">
                  <c:v>562371.0</c:v>
                </c:pt>
                <c:pt idx="38">
                  <c:v>553362.0</c:v>
                </c:pt>
                <c:pt idx="39">
                  <c:v>516232.0</c:v>
                </c:pt>
                <c:pt idx="40">
                  <c:v>522554.0</c:v>
                </c:pt>
                <c:pt idx="41">
                  <c:v>542634.0</c:v>
                </c:pt>
                <c:pt idx="42">
                  <c:v>518241.0</c:v>
                </c:pt>
                <c:pt idx="43">
                  <c:v>538268.0</c:v>
                </c:pt>
                <c:pt idx="44">
                  <c:v>537442.0</c:v>
                </c:pt>
                <c:pt idx="45">
                  <c:v>532795.0</c:v>
                </c:pt>
                <c:pt idx="46">
                  <c:v>523276.0</c:v>
                </c:pt>
                <c:pt idx="47">
                  <c:v>532963.0</c:v>
                </c:pt>
                <c:pt idx="48">
                  <c:v>508333.0</c:v>
                </c:pt>
                <c:pt idx="49">
                  <c:v>539875.0</c:v>
                </c:pt>
                <c:pt idx="50">
                  <c:v>527731.0</c:v>
                </c:pt>
                <c:pt idx="51">
                  <c:v>576646.0</c:v>
                </c:pt>
                <c:pt idx="52">
                  <c:v>570423.0</c:v>
                </c:pt>
                <c:pt idx="53">
                  <c:v>594735.0</c:v>
                </c:pt>
                <c:pt idx="54">
                  <c:v>621372.0</c:v>
                </c:pt>
                <c:pt idx="55">
                  <c:v>651183.0</c:v>
                </c:pt>
                <c:pt idx="56">
                  <c:v>657567.0</c:v>
                </c:pt>
                <c:pt idx="57">
                  <c:v>693272.0</c:v>
                </c:pt>
                <c:pt idx="58">
                  <c:v>751774.0</c:v>
                </c:pt>
                <c:pt idx="59">
                  <c:v>734257.0</c:v>
                </c:pt>
                <c:pt idx="60">
                  <c:v>754965.0</c:v>
                </c:pt>
                <c:pt idx="61">
                  <c:v>748531.0</c:v>
                </c:pt>
                <c:pt idx="62">
                  <c:v>779109.0</c:v>
                </c:pt>
                <c:pt idx="63">
                  <c:v>767964.0</c:v>
                </c:pt>
                <c:pt idx="64">
                  <c:v>758754.0</c:v>
                </c:pt>
                <c:pt idx="65">
                  <c:v>727537.0</c:v>
                </c:pt>
                <c:pt idx="66">
                  <c:v>740622.0</c:v>
                </c:pt>
                <c:pt idx="67">
                  <c:v>740877.0</c:v>
                </c:pt>
                <c:pt idx="68">
                  <c:v>741689.0</c:v>
                </c:pt>
                <c:pt idx="69">
                  <c:v>701369.0</c:v>
                </c:pt>
                <c:pt idx="70">
                  <c:v>694224.0</c:v>
                </c:pt>
                <c:pt idx="71">
                  <c:v>712195.0</c:v>
                </c:pt>
                <c:pt idx="72">
                  <c:v>780727.0</c:v>
                </c:pt>
                <c:pt idx="73">
                  <c:v>793054.0</c:v>
                </c:pt>
                <c:pt idx="74">
                  <c:v>790144.0</c:v>
                </c:pt>
                <c:pt idx="75">
                  <c:v>790767.0</c:v>
                </c:pt>
                <c:pt idx="76">
                  <c:v>780459.0</c:v>
                </c:pt>
                <c:pt idx="77">
                  <c:v>797656.0</c:v>
                </c:pt>
                <c:pt idx="78">
                  <c:v>785186.0</c:v>
                </c:pt>
                <c:pt idx="79">
                  <c:v>773155.0</c:v>
                </c:pt>
                <c:pt idx="80">
                  <c:v>785723.0</c:v>
                </c:pt>
                <c:pt idx="81">
                  <c:v>823850.0</c:v>
                </c:pt>
                <c:pt idx="82">
                  <c:v>842141.0</c:v>
                </c:pt>
                <c:pt idx="83">
                  <c:v>917347.0</c:v>
                </c:pt>
                <c:pt idx="84">
                  <c:v>841775.0</c:v>
                </c:pt>
                <c:pt idx="85">
                  <c:v>824082.0</c:v>
                </c:pt>
                <c:pt idx="86">
                  <c:v>828743.0</c:v>
                </c:pt>
                <c:pt idx="87">
                  <c:v>819274.0</c:v>
                </c:pt>
                <c:pt idx="88">
                  <c:v>832706.0</c:v>
                </c:pt>
                <c:pt idx="89">
                  <c:v>838942.0</c:v>
                </c:pt>
                <c:pt idx="90">
                  <c:v>834418.0</c:v>
                </c:pt>
                <c:pt idx="91">
                  <c:v>872639.0</c:v>
                </c:pt>
                <c:pt idx="92">
                  <c:v>888197.0</c:v>
                </c:pt>
                <c:pt idx="93">
                  <c:v>850978.0</c:v>
                </c:pt>
                <c:pt idx="94">
                  <c:v>862491.0</c:v>
                </c:pt>
                <c:pt idx="95">
                  <c:v>815297.0</c:v>
                </c:pt>
                <c:pt idx="96">
                  <c:v>830280.0</c:v>
                </c:pt>
                <c:pt idx="97">
                  <c:v>842439.0</c:v>
                </c:pt>
                <c:pt idx="98">
                  <c:v>839723.0</c:v>
                </c:pt>
                <c:pt idx="99">
                  <c:v>879285.0</c:v>
                </c:pt>
                <c:pt idx="100">
                  <c:v>881124.0</c:v>
                </c:pt>
                <c:pt idx="101">
                  <c:v>869791.0</c:v>
                </c:pt>
                <c:pt idx="102">
                  <c:v>926843.0</c:v>
                </c:pt>
                <c:pt idx="103">
                  <c:v>928837.0</c:v>
                </c:pt>
                <c:pt idx="104">
                  <c:v>905674.0</c:v>
                </c:pt>
                <c:pt idx="105">
                  <c:v>990930.0</c:v>
                </c:pt>
                <c:pt idx="106">
                  <c:v>1.016678E6</c:v>
                </c:pt>
                <c:pt idx="107">
                  <c:v>1.026228E6</c:v>
                </c:pt>
                <c:pt idx="108">
                  <c:v>1.133562E6</c:v>
                </c:pt>
                <c:pt idx="109">
                  <c:v>1.165898E6</c:v>
                </c:pt>
                <c:pt idx="110">
                  <c:v>1.192288E6</c:v>
                </c:pt>
                <c:pt idx="111">
                  <c:v>1.2198E6</c:v>
                </c:pt>
                <c:pt idx="112">
                  <c:v>1.309299E6</c:v>
                </c:pt>
                <c:pt idx="113">
                  <c:v>1.295579E6</c:v>
                </c:pt>
                <c:pt idx="114">
                  <c:v>1.328518E6</c:v>
                </c:pt>
                <c:pt idx="115">
                  <c:v>1.353927E6</c:v>
                </c:pt>
                <c:pt idx="116">
                  <c:v>1.352926E6</c:v>
                </c:pt>
                <c:pt idx="117">
                  <c:v>1.234319E6</c:v>
                </c:pt>
                <c:pt idx="118">
                  <c:v>1.099066E6</c:v>
                </c:pt>
                <c:pt idx="119">
                  <c:v>984265.0</c:v>
                </c:pt>
                <c:pt idx="120">
                  <c:v>799432.0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'CAEE Data'!$L$4</c:f>
              <c:strCache>
                <c:ptCount val="1"/>
                <c:pt idx="0">
                  <c:v>Rental Sales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Data'!$L$5:$L$136</c:f>
              <c:numCache>
                <c:formatCode>General_)</c:formatCode>
                <c:ptCount val="132"/>
                <c:pt idx="69" formatCode="&quot;$&quot;#,##0_);[Red]\(&quot;$&quot;#,##0\)">
                  <c:v>76140.0</c:v>
                </c:pt>
                <c:pt idx="70" formatCode="&quot;$&quot;#,##0_);[Red]\(&quot;$&quot;#,##0\)">
                  <c:v>56484.0</c:v>
                </c:pt>
                <c:pt idx="71" formatCode="&quot;$&quot;#,##0_);[Red]\(&quot;$&quot;#,##0\)">
                  <c:v>68225.0</c:v>
                </c:pt>
                <c:pt idx="72" formatCode="&quot;$&quot;#,##0_);[Red]\(&quot;$&quot;#,##0\)">
                  <c:v>48930.0</c:v>
                </c:pt>
                <c:pt idx="73" formatCode="&quot;$&quot;#,##0_);[Red]\(&quot;$&quot;#,##0\)">
                  <c:v>53082.0</c:v>
                </c:pt>
                <c:pt idx="74" formatCode="&quot;$&quot;#,##0_);[Red]\(&quot;$&quot;#,##0\)">
                  <c:v>57120.0</c:v>
                </c:pt>
                <c:pt idx="75" formatCode="&quot;$&quot;#,##0_);[Red]\(&quot;$&quot;#,##0\)">
                  <c:v>40075.0</c:v>
                </c:pt>
                <c:pt idx="76" formatCode="&quot;$&quot;#,##0_);[Red]\(&quot;$&quot;#,##0\)">
                  <c:v>52112.0</c:v>
                </c:pt>
                <c:pt idx="77" formatCode="&quot;$&quot;#,##0_);[Red]\(&quot;$&quot;#,##0\)">
                  <c:v>73975.0</c:v>
                </c:pt>
                <c:pt idx="78" formatCode="&quot;$&quot;#,##0_);[Red]\(&quot;$&quot;#,##0\)">
                  <c:v>78234.0</c:v>
                </c:pt>
                <c:pt idx="79" formatCode="&quot;$&quot;#,##0_);[Red]\(&quot;$&quot;#,##0\)">
                  <c:v>51067.0</c:v>
                </c:pt>
                <c:pt idx="80">
                  <c:v>32443.0</c:v>
                </c:pt>
                <c:pt idx="81">
                  <c:v>79701.0</c:v>
                </c:pt>
                <c:pt idx="82" formatCode="&quot;$&quot;#,##0_);[Red]\(&quot;$&quot;#,##0\)">
                  <c:v>77239.0</c:v>
                </c:pt>
                <c:pt idx="83">
                  <c:v>138088.0</c:v>
                </c:pt>
                <c:pt idx="84">
                  <c:v>59918.0</c:v>
                </c:pt>
                <c:pt idx="85">
                  <c:v>50172.0</c:v>
                </c:pt>
                <c:pt idx="86">
                  <c:v>57743.0</c:v>
                </c:pt>
                <c:pt idx="87">
                  <c:v>29767.0</c:v>
                </c:pt>
                <c:pt idx="88">
                  <c:v>67568.0</c:v>
                </c:pt>
                <c:pt idx="89">
                  <c:v>61505.0</c:v>
                </c:pt>
                <c:pt idx="90" formatCode="_(&quot;$&quot;* #,##0_);_(&quot;$&quot;* \(#,##0\);_(&quot;$&quot;* &quot;-&quot;??_);_(@_)">
                  <c:v>66203.0</c:v>
                </c:pt>
                <c:pt idx="91">
                  <c:v>63635.0</c:v>
                </c:pt>
                <c:pt idx="92">
                  <c:v>70570.0</c:v>
                </c:pt>
                <c:pt idx="93">
                  <c:v>97992.0</c:v>
                </c:pt>
                <c:pt idx="94">
                  <c:v>152445.0</c:v>
                </c:pt>
                <c:pt idx="95">
                  <c:v>53778.0</c:v>
                </c:pt>
                <c:pt idx="96">
                  <c:v>32065.0</c:v>
                </c:pt>
                <c:pt idx="97">
                  <c:v>54833.0</c:v>
                </c:pt>
                <c:pt idx="98">
                  <c:v>48274.0</c:v>
                </c:pt>
                <c:pt idx="99">
                  <c:v>43199.0</c:v>
                </c:pt>
                <c:pt idx="100">
                  <c:v>75545.0</c:v>
                </c:pt>
                <c:pt idx="101">
                  <c:v>56981.0</c:v>
                </c:pt>
                <c:pt idx="102">
                  <c:v>104424.0</c:v>
                </c:pt>
                <c:pt idx="103">
                  <c:v>79193.0</c:v>
                </c:pt>
                <c:pt idx="104">
                  <c:v>33351.0</c:v>
                </c:pt>
                <c:pt idx="105">
                  <c:v>109505.0</c:v>
                </c:pt>
                <c:pt idx="106">
                  <c:v>100244.0</c:v>
                </c:pt>
                <c:pt idx="107">
                  <c:v>77499.0</c:v>
                </c:pt>
                <c:pt idx="108">
                  <c:v>54384.0</c:v>
                </c:pt>
                <c:pt idx="109">
                  <c:v>52117.0</c:v>
                </c:pt>
                <c:pt idx="110">
                  <c:v>87836.0</c:v>
                </c:pt>
                <c:pt idx="111">
                  <c:v>45038.0</c:v>
                </c:pt>
                <c:pt idx="112">
                  <c:v>57957.0</c:v>
                </c:pt>
                <c:pt idx="113">
                  <c:v>114033.0</c:v>
                </c:pt>
                <c:pt idx="114">
                  <c:v>106418.0</c:v>
                </c:pt>
                <c:pt idx="115">
                  <c:v>56030.0</c:v>
                </c:pt>
                <c:pt idx="116">
                  <c:v>103051.0</c:v>
                </c:pt>
                <c:pt idx="117">
                  <c:v>135253.0</c:v>
                </c:pt>
                <c:pt idx="118">
                  <c:v>114801.0</c:v>
                </c:pt>
                <c:pt idx="119">
                  <c:v>184833.0</c:v>
                </c:pt>
                <c:pt idx="120">
                  <c:v>86720.0</c:v>
                </c:pt>
                <c:pt idx="121">
                  <c:v>78507.0</c:v>
                </c:pt>
                <c:pt idx="122">
                  <c:v>115348.0</c:v>
                </c:pt>
                <c:pt idx="123">
                  <c:v>134537.0</c:v>
                </c:pt>
                <c:pt idx="124">
                  <c:v>50492.0</c:v>
                </c:pt>
                <c:pt idx="125">
                  <c:v>146972.0</c:v>
                </c:pt>
                <c:pt idx="126">
                  <c:v>131827.0</c:v>
                </c:pt>
                <c:pt idx="127">
                  <c:v>55029.0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818616"/>
        <c:axId val="-2048815288"/>
      </c:lineChart>
      <c:catAx>
        <c:axId val="-2048833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477037037037037"/>
              <c:y val="0.949891067538126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824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488247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50108932461873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8833032"/>
        <c:crosses val="autoZero"/>
        <c:crossBetween val="between"/>
      </c:valAx>
      <c:catAx>
        <c:axId val="-20488186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2048815288"/>
        <c:crosses val="autoZero"/>
        <c:auto val="0"/>
        <c:lblAlgn val="ctr"/>
        <c:lblOffset val="100"/>
        <c:noMultiLvlLbl val="0"/>
      </c:catAx>
      <c:valAx>
        <c:axId val="-2048815288"/>
        <c:scaling>
          <c:orientation val="minMax"/>
          <c:max val="150000.0"/>
        </c:scaling>
        <c:delete val="0"/>
        <c:axPos val="r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 (Loss)</a:t>
                </a:r>
              </a:p>
            </c:rich>
          </c:tx>
          <c:layout>
            <c:manualLayout>
              <c:xMode val="edge"/>
              <c:yMode val="edge"/>
              <c:x val="0.965925925925926"/>
              <c:y val="0.45098039215686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8818616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0000FF" mc:Ignorable="a14" a14:legacySpreadsheetColorIndex="39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path path="rect">
            <a:fillToRect l="100000" t="100000"/>
          </a:path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1111111111111"/>
          <c:y val="0.16557734204793"/>
          <c:w val="0.222222222222222"/>
          <c:h val="0.215686274509804"/>
        </c:manualLayout>
      </c:layout>
      <c:overlay val="0"/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2C2E1" mc:Ignorable="a14" a14:legacySpreadsheetColorIndex="32">
            <a:gamma/>
            <a:tint val="23922"/>
            <a:invGamma/>
          </a:srgbClr>
        </a:gs>
        <a:gs pos="50000">
          <a:srgbClr xmlns:mc="http://schemas.openxmlformats.org/markup-compatibility/2006" xmlns:a14="http://schemas.microsoft.com/office/drawing/2010/main" val="000080" mc:Ignorable="a14" a14:legacySpreadsheetColorIndex="32"/>
        </a:gs>
        <a:gs pos="100000">
          <a:srgbClr xmlns:mc="http://schemas.openxmlformats.org/markup-compatibility/2006" xmlns:a14="http://schemas.microsoft.com/office/drawing/2010/main" val="C2C2E1" mc:Ignorable="a14" a14:legacySpreadsheetColorIndex="32">
            <a:gamma/>
            <a:tint val="23922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Marseille Profit Rolling 12 Months </a:t>
            </a:r>
          </a:p>
        </c:rich>
      </c:tx>
      <c:layout>
        <c:manualLayout>
          <c:xMode val="edge"/>
          <c:yMode val="edge"/>
          <c:x val="0.26518518518518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25925925926"/>
          <c:y val="0.16557734204793"/>
          <c:w val="0.752592592592593"/>
          <c:h val="0.764705882352941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Data'!$A$16:$A$136</c:f>
              <c:numCache>
                <c:formatCode>mmm\-yy</c:formatCode>
                <c:ptCount val="121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35795.0</c:v>
                </c:pt>
                <c:pt idx="38">
                  <c:v>35826.0</c:v>
                </c:pt>
                <c:pt idx="39">
                  <c:v>35854.0</c:v>
                </c:pt>
                <c:pt idx="40">
                  <c:v>35885.0</c:v>
                </c:pt>
                <c:pt idx="41">
                  <c:v>35915.0</c:v>
                </c:pt>
                <c:pt idx="42">
                  <c:v>35946.0</c:v>
                </c:pt>
                <c:pt idx="43">
                  <c:v>35976.0</c:v>
                </c:pt>
                <c:pt idx="44">
                  <c:v>36007.0</c:v>
                </c:pt>
                <c:pt idx="45">
                  <c:v>36038.0</c:v>
                </c:pt>
                <c:pt idx="46">
                  <c:v>36068.0</c:v>
                </c:pt>
                <c:pt idx="47">
                  <c:v>36099.0</c:v>
                </c:pt>
                <c:pt idx="48">
                  <c:v>36129.0</c:v>
                </c:pt>
                <c:pt idx="49">
                  <c:v>36160.0</c:v>
                </c:pt>
                <c:pt idx="50">
                  <c:v>36191.0</c:v>
                </c:pt>
                <c:pt idx="51">
                  <c:v>36219.0</c:v>
                </c:pt>
                <c:pt idx="52">
                  <c:v>36250.0</c:v>
                </c:pt>
                <c:pt idx="53">
                  <c:v>36280.0</c:v>
                </c:pt>
                <c:pt idx="54">
                  <c:v>36311.0</c:v>
                </c:pt>
                <c:pt idx="55">
                  <c:v>36341.0</c:v>
                </c:pt>
                <c:pt idx="56">
                  <c:v>36372.0</c:v>
                </c:pt>
                <c:pt idx="57">
                  <c:v>36403.0</c:v>
                </c:pt>
                <c:pt idx="58">
                  <c:v>36433.0</c:v>
                </c:pt>
                <c:pt idx="59">
                  <c:v>36464.0</c:v>
                </c:pt>
                <c:pt idx="60">
                  <c:v>36494.0</c:v>
                </c:pt>
                <c:pt idx="61">
                  <c:v>36525.0</c:v>
                </c:pt>
                <c:pt idx="62">
                  <c:v>36556.0</c:v>
                </c:pt>
                <c:pt idx="63">
                  <c:v>36585.0</c:v>
                </c:pt>
                <c:pt idx="64">
                  <c:v>36616.0</c:v>
                </c:pt>
                <c:pt idx="65">
                  <c:v>36646.0</c:v>
                </c:pt>
                <c:pt idx="66">
                  <c:v>36677.0</c:v>
                </c:pt>
                <c:pt idx="67">
                  <c:v>36707.0</c:v>
                </c:pt>
                <c:pt idx="68">
                  <c:v>36738.0</c:v>
                </c:pt>
                <c:pt idx="69">
                  <c:v>36772.0</c:v>
                </c:pt>
                <c:pt idx="70">
                  <c:v>36802.0</c:v>
                </c:pt>
                <c:pt idx="71">
                  <c:v>36833.0</c:v>
                </c:pt>
                <c:pt idx="72">
                  <c:v>36863.0</c:v>
                </c:pt>
                <c:pt idx="73">
                  <c:v>36894.0</c:v>
                </c:pt>
                <c:pt idx="74">
                  <c:v>36925.0</c:v>
                </c:pt>
                <c:pt idx="75">
                  <c:v>36953.0</c:v>
                </c:pt>
                <c:pt idx="76">
                  <c:v>36984.0</c:v>
                </c:pt>
                <c:pt idx="77">
                  <c:v>37014.0</c:v>
                </c:pt>
                <c:pt idx="78">
                  <c:v>37045.0</c:v>
                </c:pt>
                <c:pt idx="79">
                  <c:v>37075.0</c:v>
                </c:pt>
                <c:pt idx="80">
                  <c:v>37106.0</c:v>
                </c:pt>
                <c:pt idx="81">
                  <c:v>37137.0</c:v>
                </c:pt>
                <c:pt idx="82">
                  <c:v>37167.0</c:v>
                </c:pt>
                <c:pt idx="83">
                  <c:v>37198.0</c:v>
                </c:pt>
                <c:pt idx="84">
                  <c:v>37228.0</c:v>
                </c:pt>
                <c:pt idx="85">
                  <c:v>37259.0</c:v>
                </c:pt>
                <c:pt idx="86">
                  <c:v>37290.0</c:v>
                </c:pt>
                <c:pt idx="87">
                  <c:v>37318.0</c:v>
                </c:pt>
                <c:pt idx="88">
                  <c:v>37349.0</c:v>
                </c:pt>
                <c:pt idx="89">
                  <c:v>37379.0</c:v>
                </c:pt>
                <c:pt idx="90">
                  <c:v>37410.0</c:v>
                </c:pt>
                <c:pt idx="91">
                  <c:v>37440.0</c:v>
                </c:pt>
                <c:pt idx="92">
                  <c:v>37471.0</c:v>
                </c:pt>
                <c:pt idx="93">
                  <c:v>37502.0</c:v>
                </c:pt>
                <c:pt idx="94">
                  <c:v>37532.0</c:v>
                </c:pt>
                <c:pt idx="95">
                  <c:v>37563.0</c:v>
                </c:pt>
                <c:pt idx="96">
                  <c:v>37593.0</c:v>
                </c:pt>
                <c:pt idx="97">
                  <c:v>37624.0</c:v>
                </c:pt>
                <c:pt idx="98">
                  <c:v>37655.0</c:v>
                </c:pt>
                <c:pt idx="99">
                  <c:v>37683.0</c:v>
                </c:pt>
                <c:pt idx="100">
                  <c:v>37714.0</c:v>
                </c:pt>
                <c:pt idx="101">
                  <c:v>37744.0</c:v>
                </c:pt>
                <c:pt idx="102">
                  <c:v>37775.0</c:v>
                </c:pt>
                <c:pt idx="103">
                  <c:v>37805.0</c:v>
                </c:pt>
                <c:pt idx="104">
                  <c:v>37836.0</c:v>
                </c:pt>
                <c:pt idx="105">
                  <c:v>37867.0</c:v>
                </c:pt>
                <c:pt idx="106">
                  <c:v>37897.0</c:v>
                </c:pt>
                <c:pt idx="107">
                  <c:v>37928.0</c:v>
                </c:pt>
                <c:pt idx="108">
                  <c:v>37958.0</c:v>
                </c:pt>
                <c:pt idx="109">
                  <c:v>37989.0</c:v>
                </c:pt>
                <c:pt idx="110">
                  <c:v>38020.0</c:v>
                </c:pt>
                <c:pt idx="111">
                  <c:v>38049.0</c:v>
                </c:pt>
                <c:pt idx="112">
                  <c:v>38080.0</c:v>
                </c:pt>
                <c:pt idx="113">
                  <c:v>38110.0</c:v>
                </c:pt>
                <c:pt idx="114">
                  <c:v>38141.0</c:v>
                </c:pt>
                <c:pt idx="115">
                  <c:v>38171.0</c:v>
                </c:pt>
                <c:pt idx="116">
                  <c:v>38202.0</c:v>
                </c:pt>
                <c:pt idx="117">
                  <c:v>38233.0</c:v>
                </c:pt>
                <c:pt idx="118">
                  <c:v>38263.0</c:v>
                </c:pt>
                <c:pt idx="119">
                  <c:v>38294.0</c:v>
                </c:pt>
                <c:pt idx="120">
                  <c:v>38324.0</c:v>
                </c:pt>
              </c:numCache>
            </c:numRef>
          </c:cat>
          <c:val>
            <c:numRef>
              <c:f>'CAEE Data'!$AB$16:$AB$131</c:f>
              <c:numCache>
                <c:formatCode>"$"#,##0_);[Red]\("$"#,##0\)</c:formatCode>
                <c:ptCount val="116"/>
                <c:pt idx="0">
                  <c:v>-126037.0</c:v>
                </c:pt>
                <c:pt idx="1">
                  <c:v>-96972.0</c:v>
                </c:pt>
                <c:pt idx="2">
                  <c:v>-164351.0</c:v>
                </c:pt>
                <c:pt idx="3">
                  <c:v>-111962.0</c:v>
                </c:pt>
                <c:pt idx="4">
                  <c:v>-55945.0</c:v>
                </c:pt>
                <c:pt idx="5">
                  <c:v>-58551.0</c:v>
                </c:pt>
                <c:pt idx="6">
                  <c:v>-53578.0</c:v>
                </c:pt>
                <c:pt idx="7">
                  <c:v>-63161.0</c:v>
                </c:pt>
                <c:pt idx="8">
                  <c:v>-26084.0</c:v>
                </c:pt>
                <c:pt idx="9">
                  <c:v>-125328.0</c:v>
                </c:pt>
                <c:pt idx="10">
                  <c:v>-140260.0</c:v>
                </c:pt>
                <c:pt idx="11">
                  <c:v>-182374.0</c:v>
                </c:pt>
                <c:pt idx="12">
                  <c:v>-108030.0</c:v>
                </c:pt>
                <c:pt idx="13">
                  <c:v>-118522.0</c:v>
                </c:pt>
                <c:pt idx="14">
                  <c:v>-90935.0</c:v>
                </c:pt>
                <c:pt idx="15">
                  <c:v>-89272.0</c:v>
                </c:pt>
                <c:pt idx="16">
                  <c:v>-76661.0</c:v>
                </c:pt>
                <c:pt idx="17">
                  <c:v>-34706.0</c:v>
                </c:pt>
                <c:pt idx="18">
                  <c:v>-30182.0</c:v>
                </c:pt>
                <c:pt idx="19">
                  <c:v>-21382.0</c:v>
                </c:pt>
                <c:pt idx="20">
                  <c:v>-58093.0</c:v>
                </c:pt>
                <c:pt idx="21">
                  <c:v>16241.0</c:v>
                </c:pt>
                <c:pt idx="22">
                  <c:v>-3938.0</c:v>
                </c:pt>
                <c:pt idx="23">
                  <c:v>-41340.0</c:v>
                </c:pt>
                <c:pt idx="24">
                  <c:v>306.0</c:v>
                </c:pt>
                <c:pt idx="25">
                  <c:v>8621.0</c:v>
                </c:pt>
                <c:pt idx="26">
                  <c:v>15268.0</c:v>
                </c:pt>
                <c:pt idx="27">
                  <c:v>37352.0</c:v>
                </c:pt>
                <c:pt idx="28">
                  <c:v>41950.0</c:v>
                </c:pt>
                <c:pt idx="29">
                  <c:v>4782.0</c:v>
                </c:pt>
                <c:pt idx="30">
                  <c:v>13894.0</c:v>
                </c:pt>
                <c:pt idx="31">
                  <c:v>7812.0</c:v>
                </c:pt>
                <c:pt idx="32">
                  <c:v>83525.0</c:v>
                </c:pt>
                <c:pt idx="33">
                  <c:v>96535.0</c:v>
                </c:pt>
                <c:pt idx="34">
                  <c:v>125548.0</c:v>
                </c:pt>
                <c:pt idx="35">
                  <c:v>162034.0</c:v>
                </c:pt>
                <c:pt idx="36">
                  <c:v>120553.0</c:v>
                </c:pt>
                <c:pt idx="37">
                  <c:v>105052.0</c:v>
                </c:pt>
                <c:pt idx="38">
                  <c:v>124396.0</c:v>
                </c:pt>
                <c:pt idx="39">
                  <c:v>81100.0</c:v>
                </c:pt>
                <c:pt idx="40">
                  <c:v>54578.0</c:v>
                </c:pt>
                <c:pt idx="41">
                  <c:v>92400.0</c:v>
                </c:pt>
                <c:pt idx="42">
                  <c:v>55009.0</c:v>
                </c:pt>
                <c:pt idx="43">
                  <c:v>30127.0</c:v>
                </c:pt>
                <c:pt idx="44">
                  <c:v>-28892.0</c:v>
                </c:pt>
                <c:pt idx="45">
                  <c:v>-59706.0</c:v>
                </c:pt>
                <c:pt idx="46">
                  <c:v>-60010.0</c:v>
                </c:pt>
                <c:pt idx="47">
                  <c:v>-41971.0</c:v>
                </c:pt>
                <c:pt idx="48">
                  <c:v>-95000.0</c:v>
                </c:pt>
                <c:pt idx="49">
                  <c:v>-70892.0</c:v>
                </c:pt>
                <c:pt idx="50">
                  <c:v>-98754.0</c:v>
                </c:pt>
                <c:pt idx="51">
                  <c:v>-83321.0</c:v>
                </c:pt>
                <c:pt idx="52">
                  <c:v>-63851.0</c:v>
                </c:pt>
                <c:pt idx="53">
                  <c:v>-93523.0</c:v>
                </c:pt>
                <c:pt idx="54">
                  <c:v>-26916.0</c:v>
                </c:pt>
                <c:pt idx="55">
                  <c:v>-22409.0</c:v>
                </c:pt>
                <c:pt idx="56">
                  <c:v>-11326.0</c:v>
                </c:pt>
                <c:pt idx="57">
                  <c:v>-21883.0</c:v>
                </c:pt>
                <c:pt idx="58">
                  <c:v>23158.0</c:v>
                </c:pt>
                <c:pt idx="59">
                  <c:v>-6500.0</c:v>
                </c:pt>
                <c:pt idx="60">
                  <c:v>12109.0</c:v>
                </c:pt>
                <c:pt idx="61">
                  <c:v>29930.0</c:v>
                </c:pt>
                <c:pt idx="62">
                  <c:v>46658.0</c:v>
                </c:pt>
                <c:pt idx="63">
                  <c:v>20800.0</c:v>
                </c:pt>
                <c:pt idx="64">
                  <c:v>-7095.0</c:v>
                </c:pt>
                <c:pt idx="65">
                  <c:v>-14172.0</c:v>
                </c:pt>
                <c:pt idx="66">
                  <c:v>-46183.0</c:v>
                </c:pt>
                <c:pt idx="67">
                  <c:v>-11646.0</c:v>
                </c:pt>
                <c:pt idx="68">
                  <c:v>-18629.0</c:v>
                </c:pt>
                <c:pt idx="69">
                  <c:v>-48770.0</c:v>
                </c:pt>
                <c:pt idx="70">
                  <c:v>-32820.0</c:v>
                </c:pt>
                <c:pt idx="71">
                  <c:v>40869.0</c:v>
                </c:pt>
                <c:pt idx="72">
                  <c:v>1842.0</c:v>
                </c:pt>
                <c:pt idx="73">
                  <c:v>-32846.0</c:v>
                </c:pt>
                <c:pt idx="74">
                  <c:v>-32349.0</c:v>
                </c:pt>
                <c:pt idx="75">
                  <c:v>-20580.0</c:v>
                </c:pt>
                <c:pt idx="76">
                  <c:v>5091.0</c:v>
                </c:pt>
                <c:pt idx="77">
                  <c:v>47264.0</c:v>
                </c:pt>
                <c:pt idx="78">
                  <c:v>20136.0</c:v>
                </c:pt>
                <c:pt idx="79">
                  <c:v>51977.0</c:v>
                </c:pt>
                <c:pt idx="80">
                  <c:v>41272.0</c:v>
                </c:pt>
                <c:pt idx="81">
                  <c:v>125497.0</c:v>
                </c:pt>
                <c:pt idx="82">
                  <c:v>117952.0</c:v>
                </c:pt>
                <c:pt idx="83">
                  <c:v>156346.0</c:v>
                </c:pt>
                <c:pt idx="84">
                  <c:v>123054.42</c:v>
                </c:pt>
                <c:pt idx="85">
                  <c:v>153480.42</c:v>
                </c:pt>
                <c:pt idx="86">
                  <c:v>105782.42</c:v>
                </c:pt>
                <c:pt idx="87">
                  <c:v>110339.42</c:v>
                </c:pt>
                <c:pt idx="88">
                  <c:v>78447.42000000001</c:v>
                </c:pt>
                <c:pt idx="89">
                  <c:v>98224.42000000001</c:v>
                </c:pt>
                <c:pt idx="90">
                  <c:v>122560.42</c:v>
                </c:pt>
                <c:pt idx="91">
                  <c:v>67433.42000000001</c:v>
                </c:pt>
                <c:pt idx="92">
                  <c:v>84552.42000000001</c:v>
                </c:pt>
                <c:pt idx="93">
                  <c:v>37818.42000000001</c:v>
                </c:pt>
                <c:pt idx="94">
                  <c:v>23642.42000000001</c:v>
                </c:pt>
                <c:pt idx="95">
                  <c:v>-26811.57999999999</c:v>
                </c:pt>
                <c:pt idx="96">
                  <c:v>26000.0</c:v>
                </c:pt>
                <c:pt idx="97">
                  <c:v>-8323.0</c:v>
                </c:pt>
                <c:pt idx="98">
                  <c:v>35743.0</c:v>
                </c:pt>
                <c:pt idx="99">
                  <c:v>46038.0</c:v>
                </c:pt>
                <c:pt idx="100">
                  <c:v>74868.0</c:v>
                </c:pt>
                <c:pt idx="101">
                  <c:v>-21511.0</c:v>
                </c:pt>
                <c:pt idx="102">
                  <c:v>-30187.0</c:v>
                </c:pt>
                <c:pt idx="103">
                  <c:v>-16294.0</c:v>
                </c:pt>
                <c:pt idx="104">
                  <c:v>23688.0</c:v>
                </c:pt>
                <c:pt idx="105">
                  <c:v>61225.0</c:v>
                </c:pt>
                <c:pt idx="106">
                  <c:v>113421.0</c:v>
                </c:pt>
                <c:pt idx="107">
                  <c:v>129462.0</c:v>
                </c:pt>
                <c:pt idx="108">
                  <c:v>233405.0</c:v>
                </c:pt>
                <c:pt idx="109">
                  <c:v>284577.0</c:v>
                </c:pt>
                <c:pt idx="110">
                  <c:v>309622.0</c:v>
                </c:pt>
                <c:pt idx="111">
                  <c:v>319791.0</c:v>
                </c:pt>
                <c:pt idx="112">
                  <c:v>400619.0</c:v>
                </c:pt>
                <c:pt idx="113">
                  <c:v>411492.0</c:v>
                </c:pt>
                <c:pt idx="114">
                  <c:v>442223.0</c:v>
                </c:pt>
                <c:pt idx="115">
                  <c:v>417889.0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733176"/>
        <c:axId val="-2048729816"/>
      </c:lineChart>
      <c:dateAx>
        <c:axId val="-2048733176"/>
        <c:scaling>
          <c:orientation val="minMax"/>
          <c:max val="40179.0"/>
          <c:min val="36130.0"/>
        </c:scaling>
        <c:delete val="0"/>
        <c:axPos val="b"/>
        <c:numFmt formatCode="mmm\-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729816"/>
        <c:crosses val="autoZero"/>
        <c:auto val="1"/>
        <c:lblOffset val="100"/>
        <c:baseTimeUnit val="months"/>
        <c:majorUnit val="6.0"/>
        <c:majorTimeUnit val="months"/>
        <c:minorUnit val="3.0"/>
        <c:minorTimeUnit val="months"/>
      </c:dateAx>
      <c:valAx>
        <c:axId val="-2048729816"/>
        <c:scaling>
          <c:orientation val="minMax"/>
          <c:max val="450000.0"/>
          <c:min val="-2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733176"/>
        <c:crossesAt val="1187.0"/>
        <c:crossBetween val="midCat"/>
        <c:majorUnit val="100000.0"/>
        <c:minorUnit val="20000.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2962962962963"/>
          <c:y val="0.771241830065359"/>
          <c:w val="0.177777777777778"/>
          <c:h val="0.126361655773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006411" mc:Ignorable="a14" a14:legacySpreadsheetColorIndex="17"/>
        </a:gs>
        <a:gs pos="100000">
          <a:srgbClr xmlns:mc="http://schemas.openxmlformats.org/markup-compatibility/2006" xmlns:a14="http://schemas.microsoft.com/office/drawing/2010/main" val="E8F1EA" mc:Ignorable="a14" a14:legacySpreadsheetColorIndex="17">
            <a:gamma/>
            <a:tint val="9020"/>
            <a:invGamma/>
          </a:srgbClr>
        </a:gs>
      </a:gsLst>
      <a:lin ang="5400000" scaled="1"/>
    </a:gra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Marseille Profit vs.Sales (x-y) Starting January 2004</a:t>
            </a:r>
          </a:p>
        </c:rich>
      </c:tx>
      <c:layout>
        <c:manualLayout>
          <c:xMode val="edge"/>
          <c:yMode val="edge"/>
          <c:x val="0.0977777777777778"/>
          <c:y val="0.021786492374727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14814814815"/>
          <c:y val="0.130718954248366"/>
          <c:w val="0.801481481481481"/>
          <c:h val="0.803921568627451"/>
        </c:manualLayout>
      </c:layout>
      <c:scatterChart>
        <c:scatterStyle val="lineMarker"/>
        <c:varyColors val="1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quare"/>
              <c:size val="5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</c:dPt>
          <c:dPt>
            <c:idx val="2"/>
            <c:marker>
              <c:symbol val="triangle"/>
              <c:size val="5"/>
              <c:spPr>
                <a:solidFill>
                  <a:srgbClr val="FFFF00"/>
                </a:solidFill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Pt>
            <c:idx val="3"/>
            <c:marker>
              <c:symbol val="x"/>
              <c:size val="5"/>
              <c:spPr>
                <a:noFill/>
                <a:ln>
                  <a:solidFill>
                    <a:srgbClr val="00FFFF"/>
                  </a:solidFill>
                  <a:prstDash val="solid"/>
                </a:ln>
              </c:spPr>
            </c:marker>
            <c:bubble3D val="0"/>
          </c:dPt>
          <c:dPt>
            <c:idx val="4"/>
            <c:marker>
              <c:symbol val="star"/>
              <c:size val="5"/>
              <c:spPr>
                <a:noFill/>
                <a:ln>
                  <a:solidFill>
                    <a:srgbClr val="80008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rgbClr val="800000"/>
                </a:solidFill>
                <a:ln>
                  <a:solidFill>
                    <a:srgbClr val="800000"/>
                  </a:solidFill>
                  <a:prstDash val="solid"/>
                </a:ln>
              </c:spPr>
            </c:marker>
            <c:bubble3D val="0"/>
          </c:dPt>
          <c:dPt>
            <c:idx val="6"/>
            <c:marker>
              <c:symbol val="plus"/>
              <c:size val="5"/>
              <c:spPr>
                <a:noFill/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7"/>
            <c:marker>
              <c:symbol val="dot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8"/>
            <c:marker>
              <c:symbol val="dash"/>
              <c:size val="5"/>
              <c:spPr>
                <a:noFill/>
                <a:ln>
                  <a:solidFill>
                    <a:srgbClr val="00CCFF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69FFFF"/>
                </a:solidFill>
                <a:ln>
                  <a:solidFill>
                    <a:srgbClr val="69FFFF"/>
                  </a:solidFill>
                  <a:prstDash val="solid"/>
                </a:ln>
              </c:spPr>
            </c:marker>
            <c:bubble3D val="0"/>
          </c:dPt>
          <c:dPt>
            <c:idx val="10"/>
            <c:marker>
              <c:symbol val="square"/>
              <c:size val="5"/>
              <c:spPr>
                <a:solidFill>
                  <a:srgbClr val="CCFFCC"/>
                </a:solidFill>
                <a:ln>
                  <a:solidFill>
                    <a:srgbClr val="CCFFCC"/>
                  </a:solidFill>
                  <a:prstDash val="solid"/>
                </a:ln>
              </c:spPr>
            </c:marker>
            <c:bubble3D val="0"/>
          </c:dPt>
          <c:dPt>
            <c:idx val="11"/>
            <c:marker>
              <c:symbol val="triangle"/>
              <c:size val="5"/>
              <c:spPr>
                <a:solidFill>
                  <a:srgbClr val="FFFF99"/>
                </a:solidFill>
                <a:ln>
                  <a:solidFill>
                    <a:srgbClr val="FFFF99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x"/>
              <c:size val="5"/>
              <c:spPr>
                <a:noFill/>
                <a:ln>
                  <a:solidFill>
                    <a:srgbClr val="A6CAF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5"/>
              <c:spPr>
                <a:noFill/>
                <a:ln>
                  <a:solidFill>
                    <a:srgbClr val="CC9CCC"/>
                  </a:solidFill>
                  <a:prstDash val="solid"/>
                </a:ln>
              </c:spPr>
            </c:marker>
            <c:bubble3D val="0"/>
          </c:dPt>
          <c:dPt>
            <c:idx val="14"/>
            <c:marker>
              <c:symbol val="circle"/>
              <c:size val="5"/>
              <c:spPr>
                <a:solidFill>
                  <a:srgbClr val="CC99FF"/>
                </a:solidFill>
                <a:ln>
                  <a:solidFill>
                    <a:srgbClr val="CC99FF"/>
                  </a:solidFill>
                  <a:prstDash val="solid"/>
                </a:ln>
              </c:spPr>
            </c:marker>
            <c:bubble3D val="0"/>
          </c:dPt>
          <c:dPt>
            <c:idx val="15"/>
            <c:marker>
              <c:symbol val="plus"/>
              <c:size val="5"/>
              <c:spPr>
                <a:noFill/>
                <a:ln>
                  <a:solidFill>
                    <a:srgbClr val="E3E3E3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ot"/>
              <c:size val="5"/>
              <c:spPr>
                <a:noFill/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dash"/>
              <c:size val="5"/>
              <c:spPr>
                <a:noFill/>
                <a:ln>
                  <a:solidFill>
                    <a:srgbClr val="33CCCC"/>
                  </a:solidFill>
                  <a:prstDash val="solid"/>
                </a:ln>
              </c:spPr>
            </c:marker>
            <c:bubble3D val="0"/>
          </c:dPt>
          <c:dPt>
            <c:idx val="18"/>
            <c:marker>
              <c:spPr>
                <a:solidFill>
                  <a:srgbClr val="339933"/>
                </a:solidFill>
                <a:ln>
                  <a:solidFill>
                    <a:srgbClr val="339933"/>
                  </a:solidFill>
                  <a:prstDash val="solid"/>
                </a:ln>
              </c:spPr>
            </c:marker>
            <c:bubble3D val="0"/>
          </c:dPt>
          <c:dPt>
            <c:idx val="19"/>
            <c:marker>
              <c:symbol val="square"/>
              <c:size val="5"/>
              <c:spPr>
                <a:solidFill>
                  <a:srgbClr val="999933"/>
                </a:solidFill>
                <a:ln>
                  <a:solidFill>
                    <a:srgbClr val="999933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triangle"/>
              <c:size val="5"/>
              <c:spPr>
                <a:solidFill>
                  <a:srgbClr val="996633"/>
                </a:solidFill>
                <a:ln>
                  <a:solidFill>
                    <a:srgbClr val="996633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x"/>
              <c:size val="5"/>
              <c:spPr>
                <a:noFill/>
                <a:ln>
                  <a:solidFill>
                    <a:srgbClr val="996666"/>
                  </a:solidFill>
                  <a:prstDash val="solid"/>
                </a:ln>
              </c:spPr>
            </c:marker>
            <c:bubble3D val="0"/>
          </c:dPt>
          <c:dPt>
            <c:idx val="22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3"/>
            <c:marker>
              <c:symbol val="circle"/>
              <c:size val="5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dPt>
            <c:idx val="24"/>
            <c:marker>
              <c:symbol val="plus"/>
              <c:size val="5"/>
              <c:spPr>
                <a:noFill/>
                <a:ln>
                  <a:solidFill>
                    <a:srgbClr val="3333CC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dot"/>
              <c:size val="5"/>
              <c:spPr>
                <a:noFill/>
                <a:ln>
                  <a:solidFill>
                    <a:srgbClr val="336666"/>
                  </a:solidFill>
                  <a:prstDash val="solid"/>
                </a:ln>
              </c:spPr>
            </c:marker>
            <c:bubble3D val="0"/>
          </c:dPt>
          <c:dPt>
            <c:idx val="26"/>
            <c:marker>
              <c:symbol val="dash"/>
              <c:size val="5"/>
              <c:spPr>
                <a:noFill/>
                <a:ln>
                  <a:solidFill>
                    <a:srgbClr val="003300"/>
                  </a:solidFill>
                  <a:prstDash val="solid"/>
                </a:ln>
              </c:spPr>
            </c:marker>
            <c:bubble3D val="0"/>
          </c:dPt>
          <c:dPt>
            <c:idx val="27"/>
            <c:marker>
              <c:spPr>
                <a:solidFill>
                  <a:srgbClr val="333300"/>
                </a:solidFill>
                <a:ln>
                  <a:solidFill>
                    <a:srgbClr val="333300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square"/>
              <c:size val="5"/>
              <c:spPr>
                <a:solidFill>
                  <a:srgbClr val="663300"/>
                </a:solidFill>
                <a:ln>
                  <a:solidFill>
                    <a:srgbClr val="6633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triangle"/>
              <c:size val="5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30"/>
            <c:marker>
              <c:symbol val="x"/>
              <c:size val="5"/>
              <c:spPr>
                <a:noFill/>
                <a:ln>
                  <a:solidFill>
                    <a:srgbClr val="333399"/>
                  </a:solidFill>
                  <a:prstDash val="solid"/>
                </a:ln>
              </c:spPr>
            </c:marker>
            <c:bubble3D val="0"/>
          </c:dPt>
          <c:dPt>
            <c:idx val="31"/>
            <c:marker>
              <c:symbol val="star"/>
              <c:size val="5"/>
              <c:spPr>
                <a:noFill/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</c:dPt>
          <c:dPt>
            <c:idx val="32"/>
            <c:marker>
              <c:symbol val="circle"/>
              <c:size val="5"/>
              <c:spPr>
                <a:solidFill>
                  <a:srgbClr val="FFFFFF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plus"/>
              <c:size val="5"/>
              <c:spPr>
                <a:noFill/>
                <a:ln>
                  <a:solidFill>
                    <a:srgbClr val="DD0806"/>
                  </a:solidFill>
                  <a:prstDash val="solid"/>
                </a:ln>
              </c:spPr>
            </c:marker>
            <c:bubble3D val="0"/>
          </c:dPt>
          <c:dPt>
            <c:idx val="34"/>
            <c:marker>
              <c:symbol val="dot"/>
              <c:size val="5"/>
              <c:spPr>
                <a:noFill/>
                <a:ln>
                  <a:solidFill>
                    <a:srgbClr val="1FB714"/>
                  </a:solidFill>
                  <a:prstDash val="solid"/>
                </a:ln>
              </c:spPr>
            </c:marker>
            <c:bubble3D val="0"/>
          </c:dPt>
          <c:dPt>
            <c:idx val="35"/>
            <c:marker>
              <c:symbol val="dash"/>
              <c:size val="5"/>
              <c:spPr>
                <a:noFill/>
                <a:ln>
                  <a:solidFill>
                    <a:srgbClr val="0000D4"/>
                  </a:solidFill>
                  <a:prstDash val="solid"/>
                </a:ln>
              </c:spPr>
            </c:marker>
            <c:bubble3D val="0"/>
          </c:dPt>
          <c:dPt>
            <c:idx val="36"/>
            <c:marker>
              <c:spPr>
                <a:solidFill>
                  <a:srgbClr val="FCF305"/>
                </a:solidFill>
                <a:ln>
                  <a:solidFill>
                    <a:srgbClr val="FCF305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quare"/>
              <c:size val="5"/>
              <c:spPr>
                <a:solidFill>
                  <a:srgbClr val="F20884"/>
                </a:solidFill>
                <a:ln>
                  <a:solidFill>
                    <a:srgbClr val="F20884"/>
                  </a:solidFill>
                  <a:prstDash val="solid"/>
                </a:ln>
              </c:spPr>
            </c:marker>
            <c:bubble3D val="0"/>
          </c:dPt>
          <c:dPt>
            <c:idx val="38"/>
            <c:marker>
              <c:symbol val="triangle"/>
              <c:size val="5"/>
              <c:spPr>
                <a:solidFill>
                  <a:srgbClr val="00ABEA"/>
                </a:solidFill>
                <a:ln>
                  <a:solidFill>
                    <a:srgbClr val="00ABEA"/>
                  </a:solidFill>
                  <a:prstDash val="solid"/>
                </a:ln>
              </c:spPr>
            </c:marker>
            <c:bubble3D val="0"/>
          </c:dPt>
          <c:dPt>
            <c:idx val="39"/>
            <c:marker>
              <c:symbol val="x"/>
              <c:size val="5"/>
              <c:spPr>
                <a:noFill/>
                <a:ln>
                  <a:solidFill>
                    <a:srgbClr val="900000"/>
                  </a:solidFill>
                  <a:prstDash val="solid"/>
                </a:ln>
              </c:spPr>
            </c:marker>
            <c:bubble3D val="0"/>
          </c:dPt>
          <c:dPt>
            <c:idx val="40"/>
            <c:marker>
              <c:symbol val="star"/>
              <c:size val="5"/>
              <c:spPr>
                <a:noFill/>
                <a:ln>
                  <a:solidFill>
                    <a:srgbClr val="006411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circle"/>
              <c:size val="5"/>
              <c:spPr>
                <a:solidFill>
                  <a:srgbClr val="000090"/>
                </a:solidFill>
                <a:ln>
                  <a:solidFill>
                    <a:srgbClr val="000090"/>
                  </a:solidFill>
                  <a:prstDash val="solid"/>
                </a:ln>
              </c:spPr>
            </c:marker>
            <c:bubble3D val="0"/>
          </c:dPt>
          <c:dPt>
            <c:idx val="42"/>
            <c:marker>
              <c:symbol val="plus"/>
              <c:size val="5"/>
              <c:spPr>
                <a:noFill/>
                <a:ln>
                  <a:solidFill>
                    <a:srgbClr val="90713A"/>
                  </a:solidFill>
                  <a:prstDash val="solid"/>
                </a:ln>
              </c:spPr>
            </c:marker>
            <c:bubble3D val="0"/>
          </c:dPt>
          <c:dPt>
            <c:idx val="43"/>
            <c:marker>
              <c:symbol val="dot"/>
              <c:size val="5"/>
              <c:spPr>
                <a:noFill/>
                <a:ln>
                  <a:solidFill>
                    <a:srgbClr val="4600A5"/>
                  </a:solidFill>
                  <a:prstDash val="solid"/>
                </a:ln>
              </c:spPr>
            </c:marker>
            <c:bubble3D val="0"/>
          </c:dPt>
          <c:dPt>
            <c:idx val="44"/>
            <c:marker>
              <c:symbol val="dash"/>
              <c:size val="5"/>
              <c:spPr>
                <a:noFill/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C0C0C0"/>
                </a:solidFill>
                <a:ln>
                  <a:solidFill>
                    <a:srgbClr val="C0C0C0"/>
                  </a:solidFill>
                  <a:prstDash val="solid"/>
                </a:ln>
              </c:spPr>
            </c:marker>
            <c:bubble3D val="0"/>
          </c:dPt>
          <c:dPt>
            <c:idx val="46"/>
            <c:marker>
              <c:symbol val="square"/>
              <c:size val="5"/>
              <c:spPr>
                <a:solidFill>
                  <a:srgbClr val="808080"/>
                </a:solidFill>
                <a:ln>
                  <a:solidFill>
                    <a:srgbClr val="808080"/>
                  </a:solidFill>
                  <a:prstDash val="solid"/>
                </a:ln>
              </c:spPr>
            </c:marker>
            <c:bubble3D val="0"/>
          </c:dPt>
          <c:dPt>
            <c:idx val="47"/>
            <c:marker>
              <c:symbol val="triangle"/>
              <c:size val="5"/>
              <c:spPr>
                <a:solidFill>
                  <a:srgbClr val="8080FF"/>
                </a:solidFill>
                <a:ln>
                  <a:solidFill>
                    <a:srgbClr val="8080FF"/>
                  </a:solidFill>
                  <a:prstDash val="solid"/>
                </a:ln>
              </c:spPr>
            </c:marker>
            <c:bubble3D val="0"/>
          </c:dPt>
          <c:dPt>
            <c:idx val="48"/>
            <c:marker>
              <c:symbol val="x"/>
              <c:size val="5"/>
              <c:spPr>
                <a:noFill/>
                <a:ln>
                  <a:solidFill>
                    <a:srgbClr val="80206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FFFFC0"/>
                  </a:solidFill>
                  <a:prstDash val="solid"/>
                </a:ln>
              </c:spPr>
            </c:marker>
            <c:bubble3D val="0"/>
          </c:dPt>
          <c:dPt>
            <c:idx val="50"/>
            <c:marker>
              <c:symbol val="circle"/>
              <c:size val="5"/>
              <c:spPr>
                <a:solidFill>
                  <a:srgbClr val="A0E0E0"/>
                </a:solidFill>
                <a:ln>
                  <a:solidFill>
                    <a:srgbClr val="A0E0E0"/>
                  </a:solidFill>
                  <a:prstDash val="solid"/>
                </a:ln>
              </c:spPr>
            </c:marker>
            <c:bubble3D val="0"/>
          </c:dPt>
          <c:dPt>
            <c:idx val="51"/>
            <c:marker>
              <c:symbol val="plus"/>
              <c:size val="5"/>
              <c:spPr>
                <a:noFill/>
                <a:ln>
                  <a:solidFill>
                    <a:srgbClr val="600080"/>
                  </a:solidFill>
                  <a:prstDash val="solid"/>
                </a:ln>
              </c:spPr>
            </c:marker>
            <c:bubble3D val="0"/>
          </c:dPt>
          <c:dPt>
            <c:idx val="52"/>
            <c:marker>
              <c:symbol val="dot"/>
              <c:size val="5"/>
              <c:spPr>
                <a:noFill/>
                <a:ln>
                  <a:solidFill>
                    <a:srgbClr val="FF808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dash"/>
              <c:size val="5"/>
              <c:spPr>
                <a:noFill/>
                <a:ln>
                  <a:solidFill>
                    <a:srgbClr val="0080C0"/>
                  </a:solidFill>
                  <a:prstDash val="solid"/>
                </a:ln>
              </c:spPr>
            </c:marker>
            <c:bubble3D val="0"/>
          </c:dPt>
          <c:dPt>
            <c:idx val="54"/>
            <c:marker>
              <c:spPr>
                <a:solidFill>
                  <a:srgbClr val="C0C0FF"/>
                </a:solidFill>
                <a:ln>
                  <a:solidFill>
                    <a:srgbClr val="C0C0FF"/>
                  </a:solidFill>
                  <a:prstDash val="solid"/>
                </a:ln>
              </c:spPr>
            </c:marker>
            <c:bubble3D val="0"/>
          </c:dPt>
          <c:dPt>
            <c:idx val="55"/>
            <c:marker>
              <c:symbol val="square"/>
              <c:size val="5"/>
            </c:marker>
            <c:bubble3D val="0"/>
          </c:dPt>
          <c:dPt>
            <c:idx val="56"/>
            <c:marker>
              <c:symbol val="triangle"/>
              <c:size val="5"/>
              <c:spPr>
                <a:solidFill>
                  <a:srgbClr val="FF00FF"/>
                </a:solidFill>
                <a:ln>
                  <a:solidFill>
                    <a:srgbClr val="FF00FF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x"/>
              <c:size val="5"/>
              <c:spPr>
                <a:noFill/>
                <a:ln>
                  <a:solidFill>
                    <a:srgbClr val="FFFF00"/>
                  </a:solidFill>
                  <a:prstDash val="solid"/>
                </a:ln>
              </c:spPr>
            </c:marker>
            <c:bubble3D val="0"/>
          </c:dPt>
          <c:dPt>
            <c:idx val="58"/>
            <c:marker>
              <c:symbol val="star"/>
              <c:size val="5"/>
              <c:spPr>
                <a:noFill/>
                <a:ln>
                  <a:solidFill>
                    <a:srgbClr val="00FFFF"/>
                  </a:solidFill>
                  <a:prstDash val="solid"/>
                </a:ln>
              </c:spPr>
            </c:marker>
            <c:bubble3D val="0"/>
          </c:dPt>
          <c:dPt>
            <c:idx val="59"/>
            <c:marker>
              <c:symbol val="circle"/>
              <c:size val="5"/>
              <c:spPr>
                <a:solidFill>
                  <a:srgbClr val="800080"/>
                </a:solidFill>
                <a:ln>
                  <a:solidFill>
                    <a:srgbClr val="800080"/>
                  </a:solidFill>
                  <a:prstDash val="solid"/>
                </a:ln>
              </c:spPr>
            </c:marker>
            <c:bubble3D val="0"/>
          </c:dPt>
          <c:dPt>
            <c:idx val="60"/>
            <c:marker>
              <c:symbol val="plus"/>
              <c:size val="5"/>
              <c:spPr>
                <a:noFill/>
                <a:ln>
                  <a:solidFill>
                    <a:srgbClr val="800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dot"/>
              <c:size val="5"/>
              <c:spPr>
                <a:noFill/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62"/>
            <c:marker>
              <c:symbol val="dash"/>
              <c:size val="5"/>
              <c:spPr>
                <a:noFill/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63"/>
            <c:marker>
              <c:spPr>
                <a:solidFill>
                  <a:srgbClr val="00CCFF"/>
                </a:solidFill>
                <a:ln>
                  <a:solidFill>
                    <a:srgbClr val="00CCFF"/>
                  </a:solidFill>
                  <a:prstDash val="solid"/>
                </a:ln>
              </c:spPr>
            </c:marker>
            <c:bubble3D val="0"/>
          </c:dPt>
          <c:dPt>
            <c:idx val="64"/>
            <c:marker>
              <c:symbol val="square"/>
              <c:size val="5"/>
              <c:spPr>
                <a:solidFill>
                  <a:srgbClr val="69FFFF"/>
                </a:solidFill>
                <a:ln>
                  <a:solidFill>
                    <a:srgbClr val="69FFFF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triangle"/>
              <c:size val="5"/>
              <c:spPr>
                <a:solidFill>
                  <a:srgbClr val="CCFFCC"/>
                </a:solidFill>
                <a:ln>
                  <a:solidFill>
                    <a:srgbClr val="CCFFCC"/>
                  </a:solidFill>
                  <a:prstDash val="solid"/>
                </a:ln>
              </c:spPr>
            </c:marker>
            <c:bubble3D val="0"/>
          </c:dPt>
          <c:dPt>
            <c:idx val="66"/>
            <c:marker>
              <c:symbol val="x"/>
              <c:size val="5"/>
              <c:spPr>
                <a:noFill/>
                <a:ln>
                  <a:solidFill>
                    <a:srgbClr val="FFFF99"/>
                  </a:solidFill>
                  <a:prstDash val="solid"/>
                </a:ln>
              </c:spPr>
            </c:marker>
            <c:bubble3D val="0"/>
          </c:dPt>
          <c:dPt>
            <c:idx val="67"/>
            <c:marker>
              <c:symbol val="star"/>
              <c:size val="5"/>
              <c:spPr>
                <a:noFill/>
                <a:ln>
                  <a:solidFill>
                    <a:srgbClr val="A6CAF0"/>
                  </a:solidFill>
                  <a:prstDash val="solid"/>
                </a:ln>
              </c:spPr>
            </c:marker>
            <c:bubble3D val="0"/>
          </c:dPt>
          <c:dPt>
            <c:idx val="68"/>
            <c:marker>
              <c:symbol val="circle"/>
              <c:size val="5"/>
              <c:spPr>
                <a:solidFill>
                  <a:srgbClr val="CC9CCC"/>
                </a:solidFill>
                <a:ln>
                  <a:solidFill>
                    <a:srgbClr val="CC9CCC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plus"/>
              <c:size val="5"/>
              <c:spPr>
                <a:noFill/>
                <a:ln>
                  <a:solidFill>
                    <a:srgbClr val="CC99FF"/>
                  </a:solidFill>
                  <a:prstDash val="solid"/>
                </a:ln>
              </c:spPr>
            </c:marker>
            <c:bubble3D val="0"/>
          </c:dPt>
          <c:dPt>
            <c:idx val="70"/>
            <c:marker>
              <c:symbol val="dot"/>
              <c:size val="5"/>
              <c:spPr>
                <a:noFill/>
                <a:ln>
                  <a:solidFill>
                    <a:srgbClr val="E3E3E3"/>
                  </a:solidFill>
                  <a:prstDash val="solid"/>
                </a:ln>
              </c:spPr>
            </c:marker>
            <c:bubble3D val="0"/>
          </c:dPt>
          <c:dPt>
            <c:idx val="71"/>
            <c:marker>
              <c:symbol val="dash"/>
              <c:size val="5"/>
              <c:spPr>
                <a:noFill/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72"/>
            <c:marker>
              <c:spPr>
                <a:solidFill>
                  <a:srgbClr val="33CCCC"/>
                </a:solidFill>
                <a:ln>
                  <a:solidFill>
                    <a:srgbClr val="33CCCC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quare"/>
              <c:size val="5"/>
              <c:spPr>
                <a:solidFill>
                  <a:srgbClr val="339933"/>
                </a:solidFill>
                <a:ln>
                  <a:solidFill>
                    <a:srgbClr val="339933"/>
                  </a:solidFill>
                  <a:prstDash val="solid"/>
                </a:ln>
              </c:spPr>
            </c:marker>
            <c:bubble3D val="0"/>
          </c:dPt>
          <c:dPt>
            <c:idx val="74"/>
            <c:marker>
              <c:symbol val="triangle"/>
              <c:size val="5"/>
              <c:spPr>
                <a:solidFill>
                  <a:srgbClr val="999933"/>
                </a:solidFill>
                <a:ln>
                  <a:solidFill>
                    <a:srgbClr val="999933"/>
                  </a:solidFill>
                  <a:prstDash val="solid"/>
                </a:ln>
              </c:spPr>
            </c:marker>
            <c:bubble3D val="0"/>
          </c:dPt>
          <c:dPt>
            <c:idx val="75"/>
            <c:marker>
              <c:symbol val="x"/>
              <c:size val="5"/>
              <c:spPr>
                <a:noFill/>
                <a:ln>
                  <a:solidFill>
                    <a:srgbClr val="996633"/>
                  </a:solidFill>
                  <a:prstDash val="solid"/>
                </a:ln>
              </c:spPr>
            </c:marker>
            <c:bubble3D val="0"/>
          </c:dPt>
          <c:dPt>
            <c:idx val="76"/>
            <c:marker>
              <c:symbol val="star"/>
              <c:size val="5"/>
              <c:spPr>
                <a:noFill/>
                <a:ln>
                  <a:solidFill>
                    <a:srgbClr val="996666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circle"/>
              <c:size val="5"/>
              <c:spPr>
                <a:solidFill>
                  <a:srgbClr val="666699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8"/>
            <c:marker>
              <c:symbol val="plus"/>
              <c:size val="5"/>
              <c:spPr>
                <a:noFill/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dPt>
            <c:idx val="79"/>
            <c:marker>
              <c:symbol val="dot"/>
              <c:size val="5"/>
              <c:spPr>
                <a:noFill/>
                <a:ln>
                  <a:solidFill>
                    <a:srgbClr val="3333CC"/>
                  </a:solidFill>
                  <a:prstDash val="solid"/>
                </a:ln>
              </c:spPr>
            </c:marker>
            <c:bubble3D val="0"/>
          </c:dPt>
          <c:dPt>
            <c:idx val="80"/>
            <c:marker>
              <c:symbol val="dash"/>
              <c:size val="5"/>
              <c:spPr>
                <a:noFill/>
                <a:ln>
                  <a:solidFill>
                    <a:srgbClr val="336666"/>
                  </a:solidFill>
                  <a:prstDash val="solid"/>
                </a:ln>
              </c:spPr>
            </c:marker>
            <c:bubble3D val="0"/>
          </c:dPt>
          <c:dPt>
            <c:idx val="81"/>
            <c:marker>
              <c:spPr>
                <a:solidFill>
                  <a:srgbClr val="003300"/>
                </a:solidFill>
                <a:ln>
                  <a:solidFill>
                    <a:srgbClr val="003300"/>
                  </a:solidFill>
                  <a:prstDash val="solid"/>
                </a:ln>
              </c:spPr>
            </c:marker>
            <c:bubble3D val="0"/>
          </c:dPt>
          <c:dPt>
            <c:idx val="82"/>
            <c:marker>
              <c:symbol val="square"/>
              <c:size val="5"/>
              <c:spPr>
                <a:solidFill>
                  <a:srgbClr val="333300"/>
                </a:solidFill>
                <a:ln>
                  <a:solidFill>
                    <a:srgbClr val="333300"/>
                  </a:solidFill>
                  <a:prstDash val="solid"/>
                </a:ln>
              </c:spPr>
            </c:marker>
            <c:bubble3D val="0"/>
          </c:dPt>
          <c:dPt>
            <c:idx val="83"/>
            <c:marker>
              <c:symbol val="triangle"/>
              <c:size val="5"/>
              <c:spPr>
                <a:solidFill>
                  <a:srgbClr val="663300"/>
                </a:solidFill>
                <a:ln>
                  <a:solidFill>
                    <a:srgbClr val="663300"/>
                  </a:solidFill>
                  <a:prstDash val="solid"/>
                </a:ln>
              </c:spPr>
            </c:marker>
            <c:bubble3D val="0"/>
          </c:dPt>
          <c:dPt>
            <c:idx val="84"/>
            <c:marker>
              <c:symbol val="x"/>
              <c:size val="5"/>
              <c:spPr>
                <a:noFill/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85"/>
            <c:marker>
              <c:symbol val="star"/>
              <c:size val="5"/>
              <c:spPr>
                <a:noFill/>
                <a:ln>
                  <a:solidFill>
                    <a:srgbClr val="333399"/>
                  </a:solidFill>
                  <a:prstDash val="solid"/>
                </a:ln>
              </c:spPr>
            </c:marker>
            <c:bubble3D val="0"/>
          </c:dPt>
          <c:dPt>
            <c:idx val="86"/>
            <c:marker>
              <c:symbol val="circle"/>
              <c:size val="5"/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</c:dPt>
          <c:dPt>
            <c:idx val="87"/>
            <c:marker>
              <c:symbol val="plus"/>
              <c:size val="5"/>
              <c:spPr>
                <a:noFill/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</c:dPt>
          <c:dPt>
            <c:idx val="88"/>
            <c:marker>
              <c:symbol val="dot"/>
              <c:size val="5"/>
              <c:spPr>
                <a:noFill/>
                <a:ln>
                  <a:solidFill>
                    <a:srgbClr val="DD0806"/>
                  </a:solidFill>
                  <a:prstDash val="solid"/>
                </a:ln>
              </c:spPr>
            </c:marker>
            <c:bubble3D val="0"/>
          </c:dPt>
          <c:dPt>
            <c:idx val="89"/>
            <c:marker>
              <c:symbol val="dash"/>
              <c:size val="5"/>
              <c:spPr>
                <a:noFill/>
                <a:ln>
                  <a:solidFill>
                    <a:srgbClr val="1FB714"/>
                  </a:solidFill>
                  <a:prstDash val="solid"/>
                </a:ln>
              </c:spPr>
            </c:marker>
            <c:bubble3D val="0"/>
          </c:dPt>
          <c:dPt>
            <c:idx val="90"/>
            <c:marker>
              <c:spPr>
                <a:solidFill>
                  <a:srgbClr val="0000D4"/>
                </a:solidFill>
                <a:ln>
                  <a:solidFill>
                    <a:srgbClr val="0000D4"/>
                  </a:solidFill>
                  <a:prstDash val="solid"/>
                </a:ln>
              </c:spPr>
            </c:marker>
            <c:bubble3D val="0"/>
          </c:dPt>
          <c:dPt>
            <c:idx val="91"/>
            <c:marker>
              <c:symbol val="square"/>
              <c:size val="5"/>
              <c:spPr>
                <a:solidFill>
                  <a:srgbClr val="FCF305"/>
                </a:solidFill>
                <a:ln>
                  <a:solidFill>
                    <a:srgbClr val="FCF305"/>
                  </a:solidFill>
                  <a:prstDash val="solid"/>
                </a:ln>
              </c:spPr>
            </c:marker>
            <c:bubble3D val="0"/>
          </c:dPt>
          <c:dPt>
            <c:idx val="92"/>
            <c:marker>
              <c:symbol val="triangle"/>
              <c:size val="5"/>
              <c:spPr>
                <a:solidFill>
                  <a:srgbClr val="F20884"/>
                </a:solidFill>
                <a:ln>
                  <a:solidFill>
                    <a:srgbClr val="F20884"/>
                  </a:solidFill>
                  <a:prstDash val="solid"/>
                </a:ln>
              </c:spPr>
            </c:marker>
            <c:bubble3D val="0"/>
          </c:dPt>
          <c:dPt>
            <c:idx val="93"/>
            <c:marker>
              <c:symbol val="x"/>
              <c:size val="5"/>
              <c:spPr>
                <a:noFill/>
                <a:ln>
                  <a:solidFill>
                    <a:srgbClr val="00ABEA"/>
                  </a:solidFill>
                  <a:prstDash val="solid"/>
                </a:ln>
              </c:spPr>
            </c:marker>
            <c:bubble3D val="0"/>
          </c:dPt>
          <c:dPt>
            <c:idx val="94"/>
            <c:marker>
              <c:symbol val="star"/>
              <c:size val="5"/>
              <c:spPr>
                <a:noFill/>
                <a:ln>
                  <a:solidFill>
                    <a:srgbClr val="900000"/>
                  </a:solidFill>
                  <a:prstDash val="solid"/>
                </a:ln>
              </c:spPr>
            </c:marker>
            <c:bubble3D val="0"/>
          </c:dPt>
          <c:dPt>
            <c:idx val="95"/>
            <c:marker>
              <c:symbol val="circle"/>
              <c:size val="5"/>
              <c:spPr>
                <a:solidFill>
                  <a:srgbClr val="006411"/>
                </a:solidFill>
                <a:ln>
                  <a:solidFill>
                    <a:srgbClr val="006411"/>
                  </a:solidFill>
                  <a:prstDash val="solid"/>
                </a:ln>
              </c:spPr>
            </c:marker>
            <c:bubble3D val="0"/>
          </c:dPt>
          <c:dPt>
            <c:idx val="96"/>
            <c:marker>
              <c:symbol val="plus"/>
              <c:size val="5"/>
              <c:spPr>
                <a:noFill/>
                <a:ln>
                  <a:solidFill>
                    <a:srgbClr val="000090"/>
                  </a:solidFill>
                  <a:prstDash val="solid"/>
                </a:ln>
              </c:spPr>
            </c:marker>
            <c:bubble3D val="0"/>
          </c:dPt>
          <c:dPt>
            <c:idx val="97"/>
            <c:marker>
              <c:symbol val="dot"/>
              <c:size val="5"/>
              <c:spPr>
                <a:noFill/>
                <a:ln>
                  <a:solidFill>
                    <a:srgbClr val="90713A"/>
                  </a:solidFill>
                  <a:prstDash val="solid"/>
                </a:ln>
              </c:spPr>
            </c:marker>
            <c:bubble3D val="0"/>
          </c:dPt>
          <c:dPt>
            <c:idx val="98"/>
            <c:marker>
              <c:symbol val="dash"/>
              <c:size val="5"/>
              <c:spPr>
                <a:noFill/>
                <a:ln>
                  <a:solidFill>
                    <a:srgbClr val="4600A5"/>
                  </a:solidFill>
                  <a:prstDash val="solid"/>
                </a:ln>
              </c:spPr>
            </c:marker>
            <c:bubble3D val="0"/>
          </c:dPt>
          <c:dPt>
            <c:idx val="99"/>
            <c:marker>
              <c:spPr>
                <a:solidFill>
                  <a:srgbClr val="008080"/>
                </a:solidFill>
                <a:ln>
                  <a:solidFill>
                    <a:srgbClr val="008080"/>
                  </a:solidFill>
                  <a:prstDash val="solid"/>
                </a:ln>
              </c:spPr>
            </c:marker>
            <c:bubble3D val="0"/>
          </c:dPt>
          <c:dPt>
            <c:idx val="100"/>
            <c:marker>
              <c:symbol val="square"/>
              <c:size val="5"/>
              <c:spPr>
                <a:solidFill>
                  <a:srgbClr val="C0C0C0"/>
                </a:solidFill>
                <a:ln>
                  <a:solidFill>
                    <a:srgbClr val="C0C0C0"/>
                  </a:solidFill>
                  <a:prstDash val="solid"/>
                </a:ln>
              </c:spPr>
            </c:marker>
            <c:bubble3D val="0"/>
          </c:dPt>
          <c:dPt>
            <c:idx val="101"/>
            <c:marker>
              <c:symbol val="triangle"/>
              <c:size val="5"/>
              <c:spPr>
                <a:solidFill>
                  <a:srgbClr val="808080"/>
                </a:solidFill>
                <a:ln>
                  <a:solidFill>
                    <a:srgbClr val="808080"/>
                  </a:solidFill>
                  <a:prstDash val="solid"/>
                </a:ln>
              </c:spPr>
            </c:marker>
            <c:bubble3D val="0"/>
          </c:dPt>
          <c:dPt>
            <c:idx val="102"/>
            <c:marker>
              <c:symbol val="x"/>
              <c:size val="5"/>
              <c:spPr>
                <a:noFill/>
                <a:ln>
                  <a:solidFill>
                    <a:srgbClr val="8080FF"/>
                  </a:solidFill>
                  <a:prstDash val="solid"/>
                </a:ln>
              </c:spPr>
            </c:marker>
            <c:bubble3D val="0"/>
          </c:dPt>
          <c:dPt>
            <c:idx val="103"/>
            <c:marker>
              <c:symbol val="star"/>
              <c:size val="5"/>
              <c:spPr>
                <a:noFill/>
                <a:ln>
                  <a:solidFill>
                    <a:srgbClr val="802060"/>
                  </a:solidFill>
                  <a:prstDash val="solid"/>
                </a:ln>
              </c:spPr>
            </c:marker>
            <c:bubble3D val="0"/>
          </c:dPt>
          <c:dPt>
            <c:idx val="104"/>
            <c:marker>
              <c:symbol val="circle"/>
              <c:size val="5"/>
              <c:spPr>
                <a:solidFill>
                  <a:srgbClr val="FFFFC0"/>
                </a:solidFill>
                <a:ln>
                  <a:solidFill>
                    <a:srgbClr val="FFFFC0"/>
                  </a:solidFill>
                  <a:prstDash val="solid"/>
                </a:ln>
              </c:spPr>
            </c:marker>
            <c:bubble3D val="0"/>
          </c:dPt>
          <c:dPt>
            <c:idx val="105"/>
            <c:marker>
              <c:symbol val="plus"/>
              <c:size val="5"/>
              <c:spPr>
                <a:noFill/>
                <a:ln>
                  <a:solidFill>
                    <a:srgbClr val="A0E0E0"/>
                  </a:solidFill>
                  <a:prstDash val="solid"/>
                </a:ln>
              </c:spPr>
            </c:marker>
            <c:bubble3D val="0"/>
          </c:dPt>
          <c:dPt>
            <c:idx val="106"/>
            <c:marker>
              <c:symbol val="dot"/>
              <c:size val="5"/>
              <c:spPr>
                <a:noFill/>
                <a:ln>
                  <a:solidFill>
                    <a:srgbClr val="600080"/>
                  </a:solidFill>
                  <a:prstDash val="solid"/>
                </a:ln>
              </c:spPr>
            </c:marker>
            <c:bubble3D val="0"/>
          </c:dPt>
          <c:dPt>
            <c:idx val="107"/>
            <c:marker>
              <c:symbol val="dash"/>
              <c:size val="5"/>
              <c:spPr>
                <a:noFill/>
                <a:ln>
                  <a:solidFill>
                    <a:srgbClr val="FF8080"/>
                  </a:solidFill>
                  <a:prstDash val="solid"/>
                </a:ln>
              </c:spPr>
            </c:marker>
            <c:bubble3D val="0"/>
          </c:dPt>
          <c:dPt>
            <c:idx val="108"/>
            <c:marker>
              <c:spPr>
                <a:solidFill>
                  <a:srgbClr val="0080C0"/>
                </a:solidFill>
                <a:ln>
                  <a:solidFill>
                    <a:srgbClr val="0080C0"/>
                  </a:solidFill>
                  <a:prstDash val="solid"/>
                </a:ln>
              </c:spPr>
            </c:marker>
            <c:bubble3D val="0"/>
          </c:dPt>
          <c:dPt>
            <c:idx val="109"/>
            <c:marker>
              <c:symbol val="square"/>
              <c:size val="5"/>
              <c:spPr>
                <a:solidFill>
                  <a:srgbClr val="C0C0FF"/>
                </a:solidFill>
                <a:ln>
                  <a:solidFill>
                    <a:srgbClr val="C0C0FF"/>
                  </a:solidFill>
                  <a:prstDash val="solid"/>
                </a:ln>
              </c:spPr>
            </c:marker>
            <c:bubble3D val="0"/>
          </c:dPt>
          <c:dLbls>
            <c:delete val="1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('CAEE Data'!$T$77:$T$131,'CAEE Data'!$T$77:$T$131)</c:f>
              <c:numCache>
                <c:formatCode>"$"#,##0_);[Red]\("$"#,##0\)</c:formatCode>
                <c:ptCount val="110"/>
                <c:pt idx="0">
                  <c:v>88803.0</c:v>
                </c:pt>
                <c:pt idx="1">
                  <c:v>90451.0</c:v>
                </c:pt>
                <c:pt idx="2">
                  <c:v>53325.0</c:v>
                </c:pt>
                <c:pt idx="3">
                  <c:v>54856.0</c:v>
                </c:pt>
                <c:pt idx="4">
                  <c:v>75331.0</c:v>
                </c:pt>
                <c:pt idx="5">
                  <c:v>88318.0</c:v>
                </c:pt>
                <c:pt idx="6">
                  <c:v>105491.0</c:v>
                </c:pt>
                <c:pt idx="7">
                  <c:v>51492.0</c:v>
                </c:pt>
                <c:pt idx="8">
                  <c:v>65468.0</c:v>
                </c:pt>
                <c:pt idx="9">
                  <c:v>127119.0</c:v>
                </c:pt>
                <c:pt idx="10">
                  <c:v>102755.0</c:v>
                </c:pt>
                <c:pt idx="11">
                  <c:v>104026.0</c:v>
                </c:pt>
                <c:pt idx="12">
                  <c:v>75750.0</c:v>
                </c:pt>
                <c:pt idx="13">
                  <c:v>107987.0</c:v>
                </c:pt>
                <c:pt idx="14">
                  <c:v>87623.0</c:v>
                </c:pt>
                <c:pt idx="15">
                  <c:v>92975.0</c:v>
                </c:pt>
                <c:pt idx="16">
                  <c:v>136788.0</c:v>
                </c:pt>
                <c:pt idx="17">
                  <c:v>110282.0</c:v>
                </c:pt>
                <c:pt idx="18">
                  <c:v>141180.0</c:v>
                </c:pt>
                <c:pt idx="19">
                  <c:v>99885.0</c:v>
                </c:pt>
                <c:pt idx="20">
                  <c:v>189136.0</c:v>
                </c:pt>
                <c:pt idx="21">
                  <c:v>109051.0</c:v>
                </c:pt>
                <c:pt idx="22">
                  <c:v>215900.0</c:v>
                </c:pt>
                <c:pt idx="23">
                  <c:v>97095.0</c:v>
                </c:pt>
                <c:pt idx="24">
                  <c:v>129155.0</c:v>
                </c:pt>
                <c:pt idx="25">
                  <c:v>59342.0</c:v>
                </c:pt>
                <c:pt idx="26">
                  <c:v>103557.0</c:v>
                </c:pt>
                <c:pt idx="27">
                  <c:v>71243.0</c:v>
                </c:pt>
                <c:pt idx="28">
                  <c:v>237802.0</c:v>
                </c:pt>
                <c:pt idx="29">
                  <c:v>183348.0</c:v>
                </c:pt>
                <c:pt idx="30">
                  <c:v>104073.0</c:v>
                </c:pt>
                <c:pt idx="31">
                  <c:v>66899.0</c:v>
                </c:pt>
                <c:pt idx="32">
                  <c:v>96979.0</c:v>
                </c:pt>
                <c:pt idx="33">
                  <c:v>138236.0</c:v>
                </c:pt>
                <c:pt idx="34">
                  <c:v>126496.0</c:v>
                </c:pt>
                <c:pt idx="35">
                  <c:v>101649.0</c:v>
                </c:pt>
                <c:pt idx="36">
                  <c:v>113230.0</c:v>
                </c:pt>
                <c:pt idx="37">
                  <c:v>99276.0</c:v>
                </c:pt>
                <c:pt idx="38">
                  <c:v>94195.0</c:v>
                </c:pt>
                <c:pt idx="39">
                  <c:v>100406.0</c:v>
                </c:pt>
                <c:pt idx="40">
                  <c:v>82148.0</c:v>
                </c:pt>
                <c:pt idx="41">
                  <c:v>106795.0</c:v>
                </c:pt>
                <c:pt idx="42">
                  <c:v>103710.0</c:v>
                </c:pt>
                <c:pt idx="43">
                  <c:v>102568.0</c:v>
                </c:pt>
                <c:pt idx="44">
                  <c:v>136802.0</c:v>
                </c:pt>
                <c:pt idx="45">
                  <c:v>163971.0</c:v>
                </c:pt>
                <c:pt idx="46">
                  <c:v>175311.0</c:v>
                </c:pt>
                <c:pt idx="47">
                  <c:v>189258.0</c:v>
                </c:pt>
                <c:pt idx="48">
                  <c:v>142732.0</c:v>
                </c:pt>
                <c:pt idx="49">
                  <c:v>148378.0</c:v>
                </c:pt>
                <c:pt idx="50">
                  <c:v>121184.0</c:v>
                </c:pt>
                <c:pt idx="51">
                  <c:v>176209.0</c:v>
                </c:pt>
                <c:pt idx="52">
                  <c:v>97314.0</c:v>
                </c:pt>
                <c:pt idx="53">
                  <c:v>159754.0</c:v>
                </c:pt>
                <c:pt idx="54">
                  <c:v>168891.0</c:v>
                </c:pt>
                <c:pt idx="55">
                  <c:v>88803.0</c:v>
                </c:pt>
                <c:pt idx="56">
                  <c:v>90451.0</c:v>
                </c:pt>
                <c:pt idx="57">
                  <c:v>53325.0</c:v>
                </c:pt>
                <c:pt idx="58">
                  <c:v>54856.0</c:v>
                </c:pt>
                <c:pt idx="59">
                  <c:v>75331.0</c:v>
                </c:pt>
                <c:pt idx="60">
                  <c:v>88318.0</c:v>
                </c:pt>
                <c:pt idx="61">
                  <c:v>105491.0</c:v>
                </c:pt>
                <c:pt idx="62">
                  <c:v>51492.0</c:v>
                </c:pt>
                <c:pt idx="63">
                  <c:v>65468.0</c:v>
                </c:pt>
                <c:pt idx="64">
                  <c:v>127119.0</c:v>
                </c:pt>
                <c:pt idx="65">
                  <c:v>102755.0</c:v>
                </c:pt>
                <c:pt idx="66">
                  <c:v>104026.0</c:v>
                </c:pt>
                <c:pt idx="67">
                  <c:v>75750.0</c:v>
                </c:pt>
                <c:pt idx="68">
                  <c:v>107987.0</c:v>
                </c:pt>
                <c:pt idx="69">
                  <c:v>87623.0</c:v>
                </c:pt>
                <c:pt idx="70">
                  <c:v>92975.0</c:v>
                </c:pt>
                <c:pt idx="71">
                  <c:v>136788.0</c:v>
                </c:pt>
                <c:pt idx="72">
                  <c:v>110282.0</c:v>
                </c:pt>
                <c:pt idx="73">
                  <c:v>141180.0</c:v>
                </c:pt>
                <c:pt idx="74">
                  <c:v>99885.0</c:v>
                </c:pt>
                <c:pt idx="75">
                  <c:v>189136.0</c:v>
                </c:pt>
                <c:pt idx="76">
                  <c:v>109051.0</c:v>
                </c:pt>
                <c:pt idx="77">
                  <c:v>215900.0</c:v>
                </c:pt>
                <c:pt idx="78">
                  <c:v>97095.0</c:v>
                </c:pt>
                <c:pt idx="79">
                  <c:v>129155.0</c:v>
                </c:pt>
                <c:pt idx="80">
                  <c:v>59342.0</c:v>
                </c:pt>
                <c:pt idx="81">
                  <c:v>103557.0</c:v>
                </c:pt>
                <c:pt idx="82">
                  <c:v>71243.0</c:v>
                </c:pt>
                <c:pt idx="83">
                  <c:v>237802.0</c:v>
                </c:pt>
                <c:pt idx="84">
                  <c:v>183348.0</c:v>
                </c:pt>
                <c:pt idx="85">
                  <c:v>104073.0</c:v>
                </c:pt>
                <c:pt idx="86">
                  <c:v>66899.0</c:v>
                </c:pt>
                <c:pt idx="87">
                  <c:v>96979.0</c:v>
                </c:pt>
                <c:pt idx="88">
                  <c:v>138236.0</c:v>
                </c:pt>
                <c:pt idx="89">
                  <c:v>126496.0</c:v>
                </c:pt>
                <c:pt idx="90">
                  <c:v>101649.0</c:v>
                </c:pt>
                <c:pt idx="91">
                  <c:v>113230.0</c:v>
                </c:pt>
                <c:pt idx="92">
                  <c:v>99276.0</c:v>
                </c:pt>
                <c:pt idx="93">
                  <c:v>94195.0</c:v>
                </c:pt>
                <c:pt idx="94">
                  <c:v>100406.0</c:v>
                </c:pt>
                <c:pt idx="95">
                  <c:v>82148.0</c:v>
                </c:pt>
                <c:pt idx="96">
                  <c:v>106795.0</c:v>
                </c:pt>
                <c:pt idx="97">
                  <c:v>103710.0</c:v>
                </c:pt>
                <c:pt idx="98">
                  <c:v>102568.0</c:v>
                </c:pt>
                <c:pt idx="99">
                  <c:v>136802.0</c:v>
                </c:pt>
                <c:pt idx="100">
                  <c:v>163971.0</c:v>
                </c:pt>
                <c:pt idx="101">
                  <c:v>175311.0</c:v>
                </c:pt>
                <c:pt idx="102">
                  <c:v>189258.0</c:v>
                </c:pt>
                <c:pt idx="103">
                  <c:v>142732.0</c:v>
                </c:pt>
                <c:pt idx="104">
                  <c:v>148378.0</c:v>
                </c:pt>
                <c:pt idx="105">
                  <c:v>121184.0</c:v>
                </c:pt>
                <c:pt idx="106">
                  <c:v>176209.0</c:v>
                </c:pt>
                <c:pt idx="107">
                  <c:v>97314.0</c:v>
                </c:pt>
                <c:pt idx="108">
                  <c:v>159754.0</c:v>
                </c:pt>
                <c:pt idx="109">
                  <c:v>168891.0</c:v>
                </c:pt>
              </c:numCache>
            </c:numRef>
          </c:xVal>
          <c:yVal>
            <c:numRef>
              <c:f>('CAEE Data'!$U$77:$U$131,'CAEE Data'!$U$77:$U$131)</c:f>
              <c:numCache>
                <c:formatCode>"$"#,##0_);[Red]\("$"#,##0\)</c:formatCode>
                <c:ptCount val="110"/>
                <c:pt idx="0">
                  <c:v>23584.0</c:v>
                </c:pt>
                <c:pt idx="1">
                  <c:v>10889.0</c:v>
                </c:pt>
                <c:pt idx="2">
                  <c:v>-24360.0</c:v>
                </c:pt>
                <c:pt idx="3">
                  <c:v>-23566.0</c:v>
                </c:pt>
                <c:pt idx="4">
                  <c:v>3743.0</c:v>
                </c:pt>
                <c:pt idx="5">
                  <c:v>3993.0</c:v>
                </c:pt>
                <c:pt idx="6">
                  <c:v>21424.0</c:v>
                </c:pt>
                <c:pt idx="7">
                  <c:v>-25136.0</c:v>
                </c:pt>
                <c:pt idx="8">
                  <c:v>-28354.0</c:v>
                </c:pt>
                <c:pt idx="9">
                  <c:v>37607.0</c:v>
                </c:pt>
                <c:pt idx="10">
                  <c:v>48829.0</c:v>
                </c:pt>
                <c:pt idx="11" formatCode="General_)">
                  <c:v>-46811.0</c:v>
                </c:pt>
                <c:pt idx="12" formatCode="General_)">
                  <c:v>-11104.0</c:v>
                </c:pt>
                <c:pt idx="13">
                  <c:v>11386.0</c:v>
                </c:pt>
                <c:pt idx="14">
                  <c:v>-12591.0</c:v>
                </c:pt>
                <c:pt idx="15">
                  <c:v>2105.0</c:v>
                </c:pt>
                <c:pt idx="16">
                  <c:v>45916.0</c:v>
                </c:pt>
                <c:pt idx="17" formatCode="General_)">
                  <c:v>-23135.0</c:v>
                </c:pt>
                <c:pt idx="18" formatCode="General_)">
                  <c:v>53265.0</c:v>
                </c:pt>
                <c:pt idx="19" formatCode="General_)">
                  <c:v>-35841.0</c:v>
                </c:pt>
                <c:pt idx="20" formatCode="General_)">
                  <c:v>55871.0</c:v>
                </c:pt>
                <c:pt idx="21" formatCode="General_)">
                  <c:v>30062.0</c:v>
                </c:pt>
                <c:pt idx="22" formatCode="General_)">
                  <c:v>87223.0</c:v>
                </c:pt>
                <c:pt idx="23">
                  <c:v>-80102.57999999998</c:v>
                </c:pt>
                <c:pt idx="24" formatCode="General_)">
                  <c:v>19322.0</c:v>
                </c:pt>
                <c:pt idx="25" formatCode="General_)">
                  <c:v>-36312.0</c:v>
                </c:pt>
                <c:pt idx="26" formatCode="General_)">
                  <c:v>-8034.0</c:v>
                </c:pt>
                <c:pt idx="27">
                  <c:v>-29787.0</c:v>
                </c:pt>
                <c:pt idx="28" formatCode="General_)">
                  <c:v>65693.0</c:v>
                </c:pt>
                <c:pt idx="29">
                  <c:v>1201.0</c:v>
                </c:pt>
                <c:pt idx="30">
                  <c:v>-1862.0</c:v>
                </c:pt>
                <c:pt idx="31" formatCode="General_)">
                  <c:v>-18722.0</c:v>
                </c:pt>
                <c:pt idx="32" formatCode="General_)">
                  <c:v>9137.0</c:v>
                </c:pt>
                <c:pt idx="33" formatCode="General_)">
                  <c:v>15886.0</c:v>
                </c:pt>
                <c:pt idx="34" formatCode="General_)">
                  <c:v>36769.0</c:v>
                </c:pt>
                <c:pt idx="35" formatCode="General_)">
                  <c:v>-27291.0</c:v>
                </c:pt>
                <c:pt idx="36" formatCode="General_)">
                  <c:v>-15001.0</c:v>
                </c:pt>
                <c:pt idx="37" formatCode="General_)">
                  <c:v>7754.0</c:v>
                </c:pt>
                <c:pt idx="38" formatCode="General_)">
                  <c:v>2261.0</c:v>
                </c:pt>
                <c:pt idx="39">
                  <c:v>-957.0</c:v>
                </c:pt>
                <c:pt idx="40" formatCode="General_)">
                  <c:v>-30686.0</c:v>
                </c:pt>
                <c:pt idx="41">
                  <c:v>-7475.0</c:v>
                </c:pt>
                <c:pt idx="42">
                  <c:v>12031.0</c:v>
                </c:pt>
                <c:pt idx="43" formatCode="General_)">
                  <c:v>21260.0</c:v>
                </c:pt>
                <c:pt idx="44" formatCode="General_)">
                  <c:v>46674.0</c:v>
                </c:pt>
                <c:pt idx="45" formatCode="General_)">
                  <c:v>68082.0</c:v>
                </c:pt>
                <c:pt idx="46">
                  <c:v>52810.0</c:v>
                </c:pt>
                <c:pt idx="47">
                  <c:v>76652.0</c:v>
                </c:pt>
                <c:pt idx="48" formatCode="General_)">
                  <c:v>36171.0</c:v>
                </c:pt>
                <c:pt idx="49" formatCode="General_)">
                  <c:v>32799.0</c:v>
                </c:pt>
                <c:pt idx="50" formatCode="General_)">
                  <c:v>12430.0</c:v>
                </c:pt>
                <c:pt idx="51">
                  <c:v>79871.0</c:v>
                </c:pt>
                <c:pt idx="52" formatCode="General_)">
                  <c:v>-19813.0</c:v>
                </c:pt>
                <c:pt idx="53">
                  <c:v>23256.0</c:v>
                </c:pt>
                <c:pt idx="54">
                  <c:v>-12303.0</c:v>
                </c:pt>
                <c:pt idx="55">
                  <c:v>23584.0</c:v>
                </c:pt>
                <c:pt idx="56">
                  <c:v>10889.0</c:v>
                </c:pt>
                <c:pt idx="57">
                  <c:v>-24360.0</c:v>
                </c:pt>
                <c:pt idx="58">
                  <c:v>-23566.0</c:v>
                </c:pt>
                <c:pt idx="59">
                  <c:v>3743.0</c:v>
                </c:pt>
                <c:pt idx="60">
                  <c:v>3993.0</c:v>
                </c:pt>
                <c:pt idx="61">
                  <c:v>21424.0</c:v>
                </c:pt>
                <c:pt idx="62">
                  <c:v>-25136.0</c:v>
                </c:pt>
                <c:pt idx="63">
                  <c:v>-28354.0</c:v>
                </c:pt>
                <c:pt idx="64">
                  <c:v>37607.0</c:v>
                </c:pt>
                <c:pt idx="65">
                  <c:v>48829.0</c:v>
                </c:pt>
                <c:pt idx="66" formatCode="General_)">
                  <c:v>-46811.0</c:v>
                </c:pt>
                <c:pt idx="67" formatCode="General_)">
                  <c:v>-11104.0</c:v>
                </c:pt>
                <c:pt idx="68">
                  <c:v>11386.0</c:v>
                </c:pt>
                <c:pt idx="69">
                  <c:v>-12591.0</c:v>
                </c:pt>
                <c:pt idx="70">
                  <c:v>2105.0</c:v>
                </c:pt>
                <c:pt idx="71">
                  <c:v>45916.0</c:v>
                </c:pt>
                <c:pt idx="72" formatCode="General_)">
                  <c:v>-23135.0</c:v>
                </c:pt>
                <c:pt idx="73" formatCode="General_)">
                  <c:v>53265.0</c:v>
                </c:pt>
                <c:pt idx="74" formatCode="General_)">
                  <c:v>-35841.0</c:v>
                </c:pt>
                <c:pt idx="75" formatCode="General_)">
                  <c:v>55871.0</c:v>
                </c:pt>
                <c:pt idx="76" formatCode="General_)">
                  <c:v>30062.0</c:v>
                </c:pt>
                <c:pt idx="77" formatCode="General_)">
                  <c:v>87223.0</c:v>
                </c:pt>
                <c:pt idx="78">
                  <c:v>-80102.57999999998</c:v>
                </c:pt>
                <c:pt idx="79" formatCode="General_)">
                  <c:v>19322.0</c:v>
                </c:pt>
                <c:pt idx="80" formatCode="General_)">
                  <c:v>-36312.0</c:v>
                </c:pt>
                <c:pt idx="81" formatCode="General_)">
                  <c:v>-8034.0</c:v>
                </c:pt>
                <c:pt idx="82">
                  <c:v>-29787.0</c:v>
                </c:pt>
                <c:pt idx="83" formatCode="General_)">
                  <c:v>65693.0</c:v>
                </c:pt>
                <c:pt idx="84">
                  <c:v>1201.0</c:v>
                </c:pt>
                <c:pt idx="85">
                  <c:v>-1862.0</c:v>
                </c:pt>
                <c:pt idx="86" formatCode="General_)">
                  <c:v>-18722.0</c:v>
                </c:pt>
                <c:pt idx="87" formatCode="General_)">
                  <c:v>9137.0</c:v>
                </c:pt>
                <c:pt idx="88" formatCode="General_)">
                  <c:v>15886.0</c:v>
                </c:pt>
                <c:pt idx="89" formatCode="General_)">
                  <c:v>36769.0</c:v>
                </c:pt>
                <c:pt idx="90" formatCode="General_)">
                  <c:v>-27291.0</c:v>
                </c:pt>
                <c:pt idx="91" formatCode="General_)">
                  <c:v>-15001.0</c:v>
                </c:pt>
                <c:pt idx="92" formatCode="General_)">
                  <c:v>7754.0</c:v>
                </c:pt>
                <c:pt idx="93" formatCode="General_)">
                  <c:v>2261.0</c:v>
                </c:pt>
                <c:pt idx="94">
                  <c:v>-957.0</c:v>
                </c:pt>
                <c:pt idx="95" formatCode="General_)">
                  <c:v>-30686.0</c:v>
                </c:pt>
                <c:pt idx="96">
                  <c:v>-7475.0</c:v>
                </c:pt>
                <c:pt idx="97">
                  <c:v>12031.0</c:v>
                </c:pt>
                <c:pt idx="98" formatCode="General_)">
                  <c:v>21260.0</c:v>
                </c:pt>
                <c:pt idx="99" formatCode="General_)">
                  <c:v>46674.0</c:v>
                </c:pt>
                <c:pt idx="100" formatCode="General_)">
                  <c:v>68082.0</c:v>
                </c:pt>
                <c:pt idx="101">
                  <c:v>52810.0</c:v>
                </c:pt>
                <c:pt idx="102">
                  <c:v>76652.0</c:v>
                </c:pt>
                <c:pt idx="103" formatCode="General_)">
                  <c:v>36171.0</c:v>
                </c:pt>
                <c:pt idx="104" formatCode="General_)">
                  <c:v>32799.0</c:v>
                </c:pt>
                <c:pt idx="105" formatCode="General_)">
                  <c:v>12430.0</c:v>
                </c:pt>
                <c:pt idx="106">
                  <c:v>79871.0</c:v>
                </c:pt>
                <c:pt idx="107" formatCode="General_)">
                  <c:v>-19813.0</c:v>
                </c:pt>
                <c:pt idx="108">
                  <c:v>23256.0</c:v>
                </c:pt>
                <c:pt idx="109">
                  <c:v>-12303.0</c:v>
                </c:pt>
              </c:numCache>
            </c:numRef>
          </c:yVal>
          <c:smooth val="0"/>
        </c:ser>
        <c:dLbls>
          <c:showLegendKey val="0"/>
          <c:showVal val="0"/>
          <c:showCatName val="1"/>
          <c:showSerName val="0"/>
          <c:showPercent val="0"/>
          <c:showBubbleSize val="0"/>
        </c:dLbls>
        <c:axId val="-2059127144"/>
        <c:axId val="-2059121000"/>
      </c:scatterChart>
      <c:valAx>
        <c:axId val="-2059127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Month Sales</a:t>
                </a:r>
              </a:p>
            </c:rich>
          </c:tx>
          <c:layout>
            <c:manualLayout>
              <c:xMode val="edge"/>
              <c:yMode val="edge"/>
              <c:x val="0.481481481481481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59121000"/>
        <c:crosses val="autoZero"/>
        <c:crossBetween val="midCat"/>
      </c:valAx>
      <c:valAx>
        <c:axId val="-2059121000"/>
        <c:scaling>
          <c:orientation val="minMax"/>
          <c:max val="15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Month Profit</a:t>
                </a:r>
              </a:p>
            </c:rich>
          </c:tx>
          <c:layout>
            <c:manualLayout>
              <c:xMode val="edge"/>
              <c:yMode val="edge"/>
              <c:x val="0.00888888888888889"/>
              <c:y val="0.45098039215686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59127144"/>
        <c:crosses val="autoZero"/>
        <c:crossBetween val="midCat"/>
        <c:majorUnit val="50000.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Marseille Profit vs Sales Starting 1998</a:t>
            </a:r>
          </a:p>
        </c:rich>
      </c:tx>
      <c:layout>
        <c:manualLayout>
          <c:xMode val="edge"/>
          <c:yMode val="edge"/>
          <c:x val="0.272592592592593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"/>
          <c:y val="0.12636165577342"/>
          <c:w val="0.86962962962963"/>
          <c:h val="0.801742919389978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'CAEE Data'!$T$5:$T$101</c:f>
              <c:numCache>
                <c:formatCode>"$"#,##0_);[Red]\("$"#,##0\)</c:formatCode>
                <c:ptCount val="97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  <c:pt idx="17">
                  <c:v>62489.0</c:v>
                </c:pt>
                <c:pt idx="18">
                  <c:v>48079.0</c:v>
                </c:pt>
                <c:pt idx="19">
                  <c:v>45841.0</c:v>
                </c:pt>
                <c:pt idx="20">
                  <c:v>41799.0</c:v>
                </c:pt>
                <c:pt idx="21">
                  <c:v>36516.0</c:v>
                </c:pt>
                <c:pt idx="22">
                  <c:v>67044.0</c:v>
                </c:pt>
                <c:pt idx="23">
                  <c:v>103595.0</c:v>
                </c:pt>
                <c:pt idx="24">
                  <c:v>55342.0</c:v>
                </c:pt>
                <c:pt idx="25">
                  <c:v>60873.0</c:v>
                </c:pt>
                <c:pt idx="26">
                  <c:v>70025.0</c:v>
                </c:pt>
                <c:pt idx="27">
                  <c:v>85580.0</c:v>
                </c:pt>
                <c:pt idx="28">
                  <c:v>89862.0</c:v>
                </c:pt>
                <c:pt idx="29">
                  <c:v>59140.0</c:v>
                </c:pt>
                <c:pt idx="30">
                  <c:v>63968.0</c:v>
                </c:pt>
                <c:pt idx="31">
                  <c:v>23168.0</c:v>
                </c:pt>
                <c:pt idx="32">
                  <c:v>77754.0</c:v>
                </c:pt>
                <c:pt idx="33">
                  <c:v>-2719.0</c:v>
                </c:pt>
                <c:pt idx="34">
                  <c:v>38384.0</c:v>
                </c:pt>
                <c:pt idx="35">
                  <c:v>130925.0</c:v>
                </c:pt>
                <c:pt idx="36">
                  <c:v>65429.0</c:v>
                </c:pt>
                <c:pt idx="37">
                  <c:v>137819.0</c:v>
                </c:pt>
                <c:pt idx="38">
                  <c:v>33392.0</c:v>
                </c:pt>
                <c:pt idx="39">
                  <c:v>136017.0</c:v>
                </c:pt>
                <c:pt idx="40">
                  <c:v>53587.0</c:v>
                </c:pt>
                <c:pt idx="41">
                  <c:v>152154.0</c:v>
                </c:pt>
                <c:pt idx="42">
                  <c:v>80775.0</c:v>
                </c:pt>
                <c:pt idx="43">
                  <c:v>94829.0</c:v>
                </c:pt>
                <c:pt idx="44">
                  <c:v>89212.0</c:v>
                </c:pt>
                <c:pt idx="45">
                  <c:v>61334.0</c:v>
                </c:pt>
                <c:pt idx="46">
                  <c:v>83117.0</c:v>
                </c:pt>
                <c:pt idx="47">
                  <c:v>111904.0</c:v>
                </c:pt>
                <c:pt idx="48">
                  <c:v>77516.0</c:v>
                </c:pt>
                <c:pt idx="49">
                  <c:v>107858.0</c:v>
                </c:pt>
                <c:pt idx="50">
                  <c:v>70076.0</c:v>
                </c:pt>
                <c:pt idx="51">
                  <c:v>56802.0</c:v>
                </c:pt>
                <c:pt idx="52">
                  <c:v>103505.0</c:v>
                </c:pt>
                <c:pt idx="53">
                  <c:v>59656.0</c:v>
                </c:pt>
                <c:pt idx="54">
                  <c:v>71832.0</c:v>
                </c:pt>
                <c:pt idx="55">
                  <c:v>56908.0</c:v>
                </c:pt>
                <c:pt idx="56">
                  <c:v>100645.0</c:v>
                </c:pt>
                <c:pt idx="57">
                  <c:v>82361.0</c:v>
                </c:pt>
                <c:pt idx="58">
                  <c:v>98942.0</c:v>
                </c:pt>
                <c:pt idx="59">
                  <c:v>124333.0</c:v>
                </c:pt>
                <c:pt idx="60">
                  <c:v>92181.0</c:v>
                </c:pt>
                <c:pt idx="61">
                  <c:v>105279.0</c:v>
                </c:pt>
                <c:pt idx="62">
                  <c:v>109326.0</c:v>
                </c:pt>
                <c:pt idx="63">
                  <c:v>141450.0</c:v>
                </c:pt>
                <c:pt idx="64">
                  <c:v>132072.0</c:v>
                </c:pt>
                <c:pt idx="65">
                  <c:v>164732.0</c:v>
                </c:pt>
                <c:pt idx="66">
                  <c:v>115591.0</c:v>
                </c:pt>
                <c:pt idx="67">
                  <c:v>88506.0</c:v>
                </c:pt>
                <c:pt idx="68">
                  <c:v>113407.0</c:v>
                </c:pt>
                <c:pt idx="69">
                  <c:v>134759.0</c:v>
                </c:pt>
                <c:pt idx="70">
                  <c:v>95250.0</c:v>
                </c:pt>
                <c:pt idx="71">
                  <c:v>137292.0</c:v>
                </c:pt>
                <c:pt idx="72">
                  <c:v>88803.0</c:v>
                </c:pt>
                <c:pt idx="73">
                  <c:v>90451.0</c:v>
                </c:pt>
                <c:pt idx="74">
                  <c:v>53325.0</c:v>
                </c:pt>
                <c:pt idx="75">
                  <c:v>54856.0</c:v>
                </c:pt>
                <c:pt idx="76">
                  <c:v>75331.0</c:v>
                </c:pt>
                <c:pt idx="77">
                  <c:v>88318.0</c:v>
                </c:pt>
                <c:pt idx="78">
                  <c:v>105491.0</c:v>
                </c:pt>
                <c:pt idx="79">
                  <c:v>51492.0</c:v>
                </c:pt>
                <c:pt idx="80">
                  <c:v>65468.0</c:v>
                </c:pt>
                <c:pt idx="81">
                  <c:v>127119.0</c:v>
                </c:pt>
                <c:pt idx="82">
                  <c:v>102755.0</c:v>
                </c:pt>
                <c:pt idx="83">
                  <c:v>104026.0</c:v>
                </c:pt>
                <c:pt idx="84">
                  <c:v>75750.0</c:v>
                </c:pt>
                <c:pt idx="85">
                  <c:v>107987.0</c:v>
                </c:pt>
                <c:pt idx="86">
                  <c:v>87623.0</c:v>
                </c:pt>
                <c:pt idx="87">
                  <c:v>92975.0</c:v>
                </c:pt>
                <c:pt idx="88">
                  <c:v>136788.0</c:v>
                </c:pt>
                <c:pt idx="89">
                  <c:v>110282.0</c:v>
                </c:pt>
                <c:pt idx="90">
                  <c:v>141180.0</c:v>
                </c:pt>
                <c:pt idx="91">
                  <c:v>99885.0</c:v>
                </c:pt>
                <c:pt idx="92">
                  <c:v>189136.0</c:v>
                </c:pt>
                <c:pt idx="93">
                  <c:v>109051.0</c:v>
                </c:pt>
                <c:pt idx="94">
                  <c:v>215900.0</c:v>
                </c:pt>
                <c:pt idx="95">
                  <c:v>97095.0</c:v>
                </c:pt>
                <c:pt idx="96">
                  <c:v>129155.0</c:v>
                </c:pt>
              </c:numCache>
            </c:numRef>
          </c:xVal>
          <c:yVal>
            <c:numRef>
              <c:f>'CAEE Data'!$U$5:$U$101</c:f>
              <c:numCache>
                <c:formatCode>"$"#,##0_);[Red]\("$"#,##0\)</c:formatCode>
                <c:ptCount val="97"/>
                <c:pt idx="0">
                  <c:v>-29732.0</c:v>
                </c:pt>
                <c:pt idx="1">
                  <c:v>35824.0</c:v>
                </c:pt>
                <c:pt idx="2">
                  <c:v>-46775.0</c:v>
                </c:pt>
                <c:pt idx="3">
                  <c:v>-61845.0</c:v>
                </c:pt>
                <c:pt idx="4">
                  <c:v>489.0</c:v>
                </c:pt>
                <c:pt idx="5">
                  <c:v>-11821.0</c:v>
                </c:pt>
                <c:pt idx="6">
                  <c:v>14127.0</c:v>
                </c:pt>
                <c:pt idx="7">
                  <c:v>-46296.0</c:v>
                </c:pt>
                <c:pt idx="8">
                  <c:v>55058.0</c:v>
                </c:pt>
                <c:pt idx="9">
                  <c:v>-16982.0</c:v>
                </c:pt>
                <c:pt idx="10">
                  <c:v>29789.0</c:v>
                </c:pt>
                <c:pt idx="11">
                  <c:v>-47873.0</c:v>
                </c:pt>
                <c:pt idx="12">
                  <c:v>-667.0</c:v>
                </c:pt>
                <c:pt idx="13">
                  <c:v>-31555.0</c:v>
                </c:pt>
                <c:pt idx="14">
                  <c:v>5614.0</c:v>
                </c:pt>
                <c:pt idx="15">
                  <c:v>-5828.0</c:v>
                </c:pt>
                <c:pt idx="16">
                  <c:v>-2117.0</c:v>
                </c:pt>
                <c:pt idx="17">
                  <c:v>-6848.0</c:v>
                </c:pt>
                <c:pt idx="18">
                  <c:v>4544.0</c:v>
                </c:pt>
                <c:pt idx="19">
                  <c:v>-9219.0</c:v>
                </c:pt>
                <c:pt idx="20">
                  <c:v>-44186.0</c:v>
                </c:pt>
                <c:pt idx="21">
                  <c:v>-31914.0</c:v>
                </c:pt>
                <c:pt idx="22">
                  <c:v>-12325.0</c:v>
                </c:pt>
                <c:pt idx="23">
                  <c:v>26471.0</c:v>
                </c:pt>
                <c:pt idx="24">
                  <c:v>-11159.0</c:v>
                </c:pt>
                <c:pt idx="25">
                  <c:v>-3968.0</c:v>
                </c:pt>
                <c:pt idx="26">
                  <c:v>7277.0</c:v>
                </c:pt>
                <c:pt idx="27">
                  <c:v>6783.0</c:v>
                </c:pt>
                <c:pt idx="28">
                  <c:v>39838.0</c:v>
                </c:pt>
                <c:pt idx="29">
                  <c:v>-2324.0</c:v>
                </c:pt>
                <c:pt idx="30">
                  <c:v>13344.0</c:v>
                </c:pt>
                <c:pt idx="31">
                  <c:v>-45930.0</c:v>
                </c:pt>
                <c:pt idx="32">
                  <c:v>30148.0</c:v>
                </c:pt>
                <c:pt idx="33">
                  <c:v>-52093.0</c:v>
                </c:pt>
                <c:pt idx="34">
                  <c:v>-49727.0</c:v>
                </c:pt>
                <c:pt idx="35">
                  <c:v>68117.0</c:v>
                </c:pt>
                <c:pt idx="36">
                  <c:v>-2844.0</c:v>
                </c:pt>
                <c:pt idx="37">
                  <c:v>2679.0</c:v>
                </c:pt>
                <c:pt idx="38">
                  <c:v>29361.0</c:v>
                </c:pt>
                <c:pt idx="39">
                  <c:v>11381.0</c:v>
                </c:pt>
                <c:pt idx="40">
                  <c:v>2670.0</c:v>
                </c:pt>
                <c:pt idx="41">
                  <c:v>6788.0</c:v>
                </c:pt>
                <c:pt idx="42">
                  <c:v>7262.0</c:v>
                </c:pt>
                <c:pt idx="43">
                  <c:v>29783.0</c:v>
                </c:pt>
                <c:pt idx="44">
                  <c:v>43158.0</c:v>
                </c:pt>
                <c:pt idx="45">
                  <c:v>-23080.0</c:v>
                </c:pt>
                <c:pt idx="46">
                  <c:v>-13241.0</c:v>
                </c:pt>
                <c:pt idx="47">
                  <c:v>26636.0</c:v>
                </c:pt>
                <c:pt idx="48">
                  <c:v>-18345.0</c:v>
                </c:pt>
                <c:pt idx="49" formatCode="General_)">
                  <c:v>22023.0</c:v>
                </c:pt>
                <c:pt idx="50" formatCode="General_)">
                  <c:v>-13935.0</c:v>
                </c:pt>
                <c:pt idx="51" formatCode="General_)">
                  <c:v>-15141.0</c:v>
                </c:pt>
                <c:pt idx="52" formatCode="General_)">
                  <c:v>40492.0</c:v>
                </c:pt>
                <c:pt idx="53">
                  <c:v>-30603.0</c:v>
                </c:pt>
                <c:pt idx="54">
                  <c:v>-17620.0</c:v>
                </c:pt>
                <c:pt idx="55">
                  <c:v>-29236.0</c:v>
                </c:pt>
                <c:pt idx="56">
                  <c:v>12344.0</c:v>
                </c:pt>
                <c:pt idx="57">
                  <c:v>-23384.0</c:v>
                </c:pt>
                <c:pt idx="58">
                  <c:v>4798.0</c:v>
                </c:pt>
                <c:pt idx="59">
                  <c:v>-26393.0</c:v>
                </c:pt>
                <c:pt idx="60">
                  <c:v>5763.0</c:v>
                </c:pt>
                <c:pt idx="61">
                  <c:v>-5839.0</c:v>
                </c:pt>
                <c:pt idx="62">
                  <c:v>1498.0</c:v>
                </c:pt>
                <c:pt idx="63">
                  <c:v>4329.0</c:v>
                </c:pt>
                <c:pt idx="64">
                  <c:v>10820.0</c:v>
                </c:pt>
                <c:pt idx="65">
                  <c:v>36004.0</c:v>
                </c:pt>
                <c:pt idx="66">
                  <c:v>-13113.0</c:v>
                </c:pt>
                <c:pt idx="67">
                  <c:v>-18153.0</c:v>
                </c:pt>
                <c:pt idx="68">
                  <c:v>1787.0</c:v>
                </c:pt>
                <c:pt idx="69">
                  <c:v>21657.0</c:v>
                </c:pt>
                <c:pt idx="70">
                  <c:v>-24860.0</c:v>
                </c:pt>
                <c:pt idx="71">
                  <c:v>-7784.0</c:v>
                </c:pt>
                <c:pt idx="72">
                  <c:v>23584.0</c:v>
                </c:pt>
                <c:pt idx="73">
                  <c:v>10889.0</c:v>
                </c:pt>
                <c:pt idx="74">
                  <c:v>-24360.0</c:v>
                </c:pt>
                <c:pt idx="75">
                  <c:v>-23566.0</c:v>
                </c:pt>
                <c:pt idx="76">
                  <c:v>3743.0</c:v>
                </c:pt>
                <c:pt idx="77">
                  <c:v>3993.0</c:v>
                </c:pt>
                <c:pt idx="78">
                  <c:v>21424.0</c:v>
                </c:pt>
                <c:pt idx="79">
                  <c:v>-25136.0</c:v>
                </c:pt>
                <c:pt idx="80">
                  <c:v>-28354.0</c:v>
                </c:pt>
                <c:pt idx="81">
                  <c:v>37607.0</c:v>
                </c:pt>
                <c:pt idx="82">
                  <c:v>48829.0</c:v>
                </c:pt>
                <c:pt idx="83" formatCode="General_)">
                  <c:v>-46811.0</c:v>
                </c:pt>
                <c:pt idx="84" formatCode="General_)">
                  <c:v>-11104.0</c:v>
                </c:pt>
                <c:pt idx="85">
                  <c:v>11386.0</c:v>
                </c:pt>
                <c:pt idx="86">
                  <c:v>-12591.0</c:v>
                </c:pt>
                <c:pt idx="87">
                  <c:v>2105.0</c:v>
                </c:pt>
                <c:pt idx="88">
                  <c:v>45916.0</c:v>
                </c:pt>
                <c:pt idx="89" formatCode="General_)">
                  <c:v>-23135.0</c:v>
                </c:pt>
                <c:pt idx="90" formatCode="General_)">
                  <c:v>53265.0</c:v>
                </c:pt>
                <c:pt idx="91" formatCode="General_)">
                  <c:v>-35841.0</c:v>
                </c:pt>
                <c:pt idx="92" formatCode="General_)">
                  <c:v>55871.0</c:v>
                </c:pt>
                <c:pt idx="93" formatCode="General_)">
                  <c:v>30062.0</c:v>
                </c:pt>
                <c:pt idx="94" formatCode="General_)">
                  <c:v>87223.0</c:v>
                </c:pt>
                <c:pt idx="95">
                  <c:v>-80102.57999999998</c:v>
                </c:pt>
                <c:pt idx="96" formatCode="General_)">
                  <c:v>19322.0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9069672"/>
        <c:axId val="-2059063480"/>
      </c:scatterChart>
      <c:valAx>
        <c:axId val="-2059069672"/>
        <c:scaling>
          <c:orientation val="minMax"/>
          <c:max val="250000.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$ Sales</a:t>
                </a:r>
              </a:p>
            </c:rich>
          </c:tx>
          <c:layout>
            <c:manualLayout>
              <c:xMode val="edge"/>
              <c:yMode val="edge"/>
              <c:x val="0.481481481481481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59063480"/>
        <c:crosses val="autoZero"/>
        <c:crossBetween val="midCat"/>
      </c:valAx>
      <c:valAx>
        <c:axId val="-2059063480"/>
        <c:scaling>
          <c:orientation val="minMax"/>
          <c:max val="1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n-US"/>
                  <a:t>$ Profit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77124183006536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-2059069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333333333333"/>
          <c:y val="0.16557734204793"/>
          <c:w val="0.168888888888889"/>
          <c:h val="0.0631808278867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Express PROFIT VS. SALES</a:t>
            </a:r>
          </a:p>
        </c:rich>
      </c:tx>
      <c:layout>
        <c:manualLayout>
          <c:xMode val="edge"/>
          <c:yMode val="edge"/>
          <c:x val="0.32444444444444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77777777777778"/>
          <c:y val="0.135076252723312"/>
          <c:w val="0.854814814814815"/>
          <c:h val="0.81263616557734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poly"/>
            <c:order val="3"/>
            <c:dispRSqr val="0"/>
            <c:dispEq val="0"/>
          </c:trendline>
          <c:xVal>
            <c:numRef>
              <c:f>'Exp Data'!$B$64:$B$94</c:f>
              <c:numCache>
                <c:formatCode>General_)</c:formatCode>
                <c:ptCount val="31"/>
                <c:pt idx="0">
                  <c:v>95903.0</c:v>
                </c:pt>
                <c:pt idx="1">
                  <c:v>61795.0</c:v>
                </c:pt>
                <c:pt idx="2">
                  <c:v>64879.0</c:v>
                </c:pt>
                <c:pt idx="3">
                  <c:v>156668.0</c:v>
                </c:pt>
                <c:pt idx="4">
                  <c:v>135058.0</c:v>
                </c:pt>
                <c:pt idx="5">
                  <c:v>102180.0</c:v>
                </c:pt>
                <c:pt idx="6">
                  <c:v>99059.0</c:v>
                </c:pt>
                <c:pt idx="7">
                  <c:v>113327.0</c:v>
                </c:pt>
                <c:pt idx="8">
                  <c:v>88149.0</c:v>
                </c:pt>
                <c:pt idx="9">
                  <c:v>144879.0</c:v>
                </c:pt>
                <c:pt idx="10">
                  <c:v>77434.0</c:v>
                </c:pt>
                <c:pt idx="11">
                  <c:v>61994.0</c:v>
                </c:pt>
                <c:pt idx="12">
                  <c:v>73130.0</c:v>
                </c:pt>
                <c:pt idx="13">
                  <c:v>86176.0</c:v>
                </c:pt>
                <c:pt idx="14">
                  <c:v>68123.0</c:v>
                </c:pt>
                <c:pt idx="15">
                  <c:v>81685.0</c:v>
                </c:pt>
                <c:pt idx="16">
                  <c:v>130756.0</c:v>
                </c:pt>
                <c:pt idx="17">
                  <c:v>89171.0</c:v>
                </c:pt>
                <c:pt idx="18">
                  <c:v>96435.0</c:v>
                </c:pt>
                <c:pt idx="19">
                  <c:v>84470.0</c:v>
                </c:pt>
                <c:pt idx="20">
                  <c:v>78768.0</c:v>
                </c:pt>
                <c:pt idx="21">
                  <c:v>88990.0</c:v>
                </c:pt>
                <c:pt idx="22">
                  <c:v>66825.0</c:v>
                </c:pt>
                <c:pt idx="23">
                  <c:v>36713.0</c:v>
                </c:pt>
                <c:pt idx="24">
                  <c:v>120218.0</c:v>
                </c:pt>
                <c:pt idx="25">
                  <c:v>86630.0</c:v>
                </c:pt>
                <c:pt idx="26">
                  <c:v>99365.0</c:v>
                </c:pt>
                <c:pt idx="27">
                  <c:v>194099.0</c:v>
                </c:pt>
                <c:pt idx="28">
                  <c:v>191328.0</c:v>
                </c:pt>
                <c:pt idx="29">
                  <c:v>187126.0</c:v>
                </c:pt>
                <c:pt idx="30">
                  <c:v>189186.0</c:v>
                </c:pt>
              </c:numCache>
            </c:numRef>
          </c:xVal>
          <c:yVal>
            <c:numRef>
              <c:f>'Exp Data'!$D$64:$D$94</c:f>
              <c:numCache>
                <c:formatCode>General_)</c:formatCode>
                <c:ptCount val="31"/>
                <c:pt idx="0">
                  <c:v>-4400.0</c:v>
                </c:pt>
                <c:pt idx="1">
                  <c:v>-9184.0</c:v>
                </c:pt>
                <c:pt idx="2">
                  <c:v>-16729.0</c:v>
                </c:pt>
                <c:pt idx="3">
                  <c:v>48116.0</c:v>
                </c:pt>
                <c:pt idx="4">
                  <c:v>17766.0</c:v>
                </c:pt>
                <c:pt idx="5">
                  <c:v>-3706.0</c:v>
                </c:pt>
                <c:pt idx="6">
                  <c:v>13187.0</c:v>
                </c:pt>
                <c:pt idx="7">
                  <c:v>10603.0</c:v>
                </c:pt>
                <c:pt idx="8">
                  <c:v>-860.0</c:v>
                </c:pt>
                <c:pt idx="9">
                  <c:v>53435.0</c:v>
                </c:pt>
                <c:pt idx="10">
                  <c:v>-5584.0</c:v>
                </c:pt>
                <c:pt idx="11">
                  <c:v>-8732.0</c:v>
                </c:pt>
                <c:pt idx="12">
                  <c:v>-19910.0</c:v>
                </c:pt>
                <c:pt idx="13">
                  <c:v>78401.0</c:v>
                </c:pt>
                <c:pt idx="14">
                  <c:v>-560.0</c:v>
                </c:pt>
                <c:pt idx="15">
                  <c:v>1510.0</c:v>
                </c:pt>
                <c:pt idx="16">
                  <c:v>29366.0</c:v>
                </c:pt>
                <c:pt idx="17">
                  <c:v>-3525.0</c:v>
                </c:pt>
                <c:pt idx="18">
                  <c:v>6212.0</c:v>
                </c:pt>
                <c:pt idx="19">
                  <c:v>-6771.0</c:v>
                </c:pt>
                <c:pt idx="20">
                  <c:v>-2853.0</c:v>
                </c:pt>
                <c:pt idx="21">
                  <c:v>4207.0</c:v>
                </c:pt>
                <c:pt idx="22">
                  <c:v>-11340.0</c:v>
                </c:pt>
                <c:pt idx="23">
                  <c:v>-19655.0</c:v>
                </c:pt>
                <c:pt idx="24">
                  <c:v>514.0</c:v>
                </c:pt>
                <c:pt idx="25">
                  <c:v>6779.0</c:v>
                </c:pt>
                <c:pt idx="26">
                  <c:v>2847.0</c:v>
                </c:pt>
                <c:pt idx="27">
                  <c:v>23075.0</c:v>
                </c:pt>
                <c:pt idx="28">
                  <c:v>52173.0</c:v>
                </c:pt>
                <c:pt idx="29">
                  <c:v>52346.0</c:v>
                </c:pt>
                <c:pt idx="30">
                  <c:v>39943.0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9028312"/>
        <c:axId val="-2059158536"/>
      </c:scatterChart>
      <c:valAx>
        <c:axId val="-2059028312"/>
        <c:scaling>
          <c:orientation val="minMax"/>
          <c:max val="200000.0"/>
          <c:min val="40000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493333333333333"/>
              <c:y val="0.9520697167755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9158536"/>
        <c:crosses val="autoZero"/>
        <c:crossBetween val="midCat"/>
        <c:majorUnit val="20000.0"/>
      </c:valAx>
      <c:valAx>
        <c:axId val="-2059158536"/>
        <c:scaling>
          <c:orientation val="minMax"/>
          <c:max val="6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0"/>
              <c:y val="0.492374727668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59028312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0" mc:Ignorable="a14" a14:legacySpreadsheetColorIndex="26"/>
            </a:gs>
            <a:gs pos="100000">
              <a:srgbClr xmlns:mc="http://schemas.openxmlformats.org/markup-compatibility/2006" xmlns:a14="http://schemas.microsoft.com/office/drawing/2010/main" val="B7B78A" mc:Ignorable="a14" a14:legacySpreadsheetColorIndex="26">
                <a:gamma/>
                <a:shade val="71765"/>
                <a:invGamma/>
              </a:srgbClr>
            </a:gs>
          </a:gsLst>
          <a:lin ang="5400000" scaled="1"/>
        </a:gradFill>
        <a:ln w="12700">
          <a:solidFill>
            <a:srgbClr val="FFFF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Express Trailing 12 Months </a:t>
            </a:r>
          </a:p>
        </c:rich>
      </c:tx>
      <c:layout>
        <c:manualLayout>
          <c:xMode val="edge"/>
          <c:yMode val="edge"/>
          <c:x val="0.171851851851852"/>
          <c:y val="0.12854030501089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2962962963"/>
          <c:y val="0.163398692810458"/>
          <c:w val="0.751111111111111"/>
          <c:h val="0.775599128540305"/>
        </c:manualLayout>
      </c:layout>
      <c:lineChart>
        <c:grouping val="standard"/>
        <c:varyColors val="0"/>
        <c:ser>
          <c:idx val="2"/>
          <c:order val="0"/>
          <c:tx>
            <c:v>Sales, $/10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'Exp Data'!$A$16:$A$93</c:f>
              <c:numCache>
                <c:formatCode>mmm\-yy</c:formatCode>
                <c:ptCount val="78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</c:numCache>
            </c:numRef>
          </c:cat>
          <c:val>
            <c:numRef>
              <c:f>'Exp Data'!$F$16:$F$92</c:f>
              <c:numCache>
                <c:formatCode>"$"#,##0_);[Red]\("$"#,##0\)</c:formatCode>
                <c:ptCount val="77"/>
                <c:pt idx="0">
                  <c:v>128456.6</c:v>
                </c:pt>
                <c:pt idx="1">
                  <c:v>132395.6</c:v>
                </c:pt>
                <c:pt idx="2">
                  <c:v>129044.7</c:v>
                </c:pt>
                <c:pt idx="3">
                  <c:v>126212.4</c:v>
                </c:pt>
                <c:pt idx="4">
                  <c:v>127069.3</c:v>
                </c:pt>
                <c:pt idx="5">
                  <c:v>125788.6</c:v>
                </c:pt>
                <c:pt idx="6">
                  <c:v>127040.0</c:v>
                </c:pt>
                <c:pt idx="7">
                  <c:v>113158.4</c:v>
                </c:pt>
                <c:pt idx="8">
                  <c:v>113891.3</c:v>
                </c:pt>
                <c:pt idx="9">
                  <c:v>117310.5</c:v>
                </c:pt>
                <c:pt idx="10">
                  <c:v>109694.3</c:v>
                </c:pt>
                <c:pt idx="11">
                  <c:v>113794.3</c:v>
                </c:pt>
                <c:pt idx="12">
                  <c:v>108643.3</c:v>
                </c:pt>
                <c:pt idx="13">
                  <c:v>105558.2</c:v>
                </c:pt>
                <c:pt idx="14">
                  <c:v>104146.6</c:v>
                </c:pt>
                <c:pt idx="15">
                  <c:v>102280.4</c:v>
                </c:pt>
                <c:pt idx="16">
                  <c:v>102422.2</c:v>
                </c:pt>
                <c:pt idx="17">
                  <c:v>105231.3</c:v>
                </c:pt>
                <c:pt idx="18">
                  <c:v>106682.2</c:v>
                </c:pt>
                <c:pt idx="19">
                  <c:v>110574.4</c:v>
                </c:pt>
                <c:pt idx="20">
                  <c:v>108644.7</c:v>
                </c:pt>
                <c:pt idx="21">
                  <c:v>108194.4</c:v>
                </c:pt>
                <c:pt idx="22">
                  <c:v>112366.2</c:v>
                </c:pt>
                <c:pt idx="23">
                  <c:v>113165.0</c:v>
                </c:pt>
                <c:pt idx="24">
                  <c:v>118209.4</c:v>
                </c:pt>
                <c:pt idx="25">
                  <c:v>122886.9</c:v>
                </c:pt>
                <c:pt idx="26">
                  <c:v>125742.3</c:v>
                </c:pt>
                <c:pt idx="27">
                  <c:v>133406.1</c:v>
                </c:pt>
                <c:pt idx="28">
                  <c:v>142825.6</c:v>
                </c:pt>
                <c:pt idx="29">
                  <c:v>143868.4</c:v>
                </c:pt>
                <c:pt idx="30">
                  <c:v>148116.4</c:v>
                </c:pt>
                <c:pt idx="31">
                  <c:v>147916.2</c:v>
                </c:pt>
                <c:pt idx="32">
                  <c:v>147901.5</c:v>
                </c:pt>
                <c:pt idx="33">
                  <c:v>142342.0</c:v>
                </c:pt>
                <c:pt idx="34">
                  <c:v>145636.6</c:v>
                </c:pt>
                <c:pt idx="35">
                  <c:v>144291.5</c:v>
                </c:pt>
                <c:pt idx="36">
                  <c:v>138431.1</c:v>
                </c:pt>
                <c:pt idx="37">
                  <c:v>138565.3</c:v>
                </c:pt>
                <c:pt idx="38">
                  <c:v>136331.2</c:v>
                </c:pt>
                <c:pt idx="39">
                  <c:v>137128.4</c:v>
                </c:pt>
                <c:pt idx="40">
                  <c:v>134352.6</c:v>
                </c:pt>
                <c:pt idx="41">
                  <c:v>135772.4</c:v>
                </c:pt>
                <c:pt idx="42">
                  <c:v>135164.6</c:v>
                </c:pt>
                <c:pt idx="43">
                  <c:v>136179.7</c:v>
                </c:pt>
                <c:pt idx="44">
                  <c:v>133571.7</c:v>
                </c:pt>
                <c:pt idx="45">
                  <c:v>134177.4</c:v>
                </c:pt>
                <c:pt idx="46">
                  <c:v>129668.8</c:v>
                </c:pt>
                <c:pt idx="47">
                  <c:v>132004.8</c:v>
                </c:pt>
                <c:pt idx="48">
                  <c:v>133165.6</c:v>
                </c:pt>
                <c:pt idx="49">
                  <c:v>128139.8</c:v>
                </c:pt>
                <c:pt idx="50">
                  <c:v>125537.7</c:v>
                </c:pt>
                <c:pt idx="51">
                  <c:v>125771.7</c:v>
                </c:pt>
                <c:pt idx="52">
                  <c:v>122065.8</c:v>
                </c:pt>
                <c:pt idx="53">
                  <c:v>119958.3</c:v>
                </c:pt>
                <c:pt idx="54">
                  <c:v>116249.1</c:v>
                </c:pt>
                <c:pt idx="55">
                  <c:v>117229.6</c:v>
                </c:pt>
                <c:pt idx="56">
                  <c:v>118865.1</c:v>
                </c:pt>
                <c:pt idx="57">
                  <c:v>127822.0</c:v>
                </c:pt>
                <c:pt idx="58">
                  <c:v>125956.9</c:v>
                </c:pt>
                <c:pt idx="59">
                  <c:v>120132.5</c:v>
                </c:pt>
                <c:pt idx="60">
                  <c:v>117855.2</c:v>
                </c:pt>
                <c:pt idx="61">
                  <c:v>120293.3</c:v>
                </c:pt>
                <c:pt idx="62">
                  <c:v>120617.7</c:v>
                </c:pt>
                <c:pt idx="63">
                  <c:v>113119.4</c:v>
                </c:pt>
                <c:pt idx="64">
                  <c:v>112689.2</c:v>
                </c:pt>
                <c:pt idx="65">
                  <c:v>111388.3</c:v>
                </c:pt>
                <c:pt idx="66">
                  <c:v>111125.9</c:v>
                </c:pt>
                <c:pt idx="67">
                  <c:v>108240.2</c:v>
                </c:pt>
                <c:pt idx="68">
                  <c:v>107302.1</c:v>
                </c:pt>
                <c:pt idx="69">
                  <c:v>101713.2</c:v>
                </c:pt>
                <c:pt idx="70">
                  <c:v>100652.3</c:v>
                </c:pt>
                <c:pt idx="71">
                  <c:v>98124.2</c:v>
                </c:pt>
                <c:pt idx="72">
                  <c:v>102833.0</c:v>
                </c:pt>
                <c:pt idx="73">
                  <c:v>102878.4</c:v>
                </c:pt>
                <c:pt idx="74">
                  <c:v>106002.6</c:v>
                </c:pt>
                <c:pt idx="75">
                  <c:v>117244.0</c:v>
                </c:pt>
                <c:pt idx="76">
                  <c:v>123301.2</c:v>
                </c:pt>
              </c:numCache>
            </c:numRef>
          </c:val>
          <c:smooth val="0"/>
        </c:ser>
        <c:ser>
          <c:idx val="1"/>
          <c:order val="1"/>
          <c:tx>
            <c:v>Profit, $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'Exp Data'!$A$16:$A$94</c:f>
              <c:numCache>
                <c:formatCode>mmm\-yy</c:formatCode>
                <c:ptCount val="79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</c:numCache>
            </c:numRef>
          </c:cat>
          <c:val>
            <c:numRef>
              <c:f>'Exp Data'!$G$16:$G$94</c:f>
              <c:numCache>
                <c:formatCode>"$"#,##0_);[Red]\("$"#,##0\)</c:formatCode>
                <c:ptCount val="79"/>
                <c:pt idx="0">
                  <c:v>-37818.0</c:v>
                </c:pt>
                <c:pt idx="1">
                  <c:v>-3182.0</c:v>
                </c:pt>
                <c:pt idx="2">
                  <c:v>-13280.0</c:v>
                </c:pt>
                <c:pt idx="3">
                  <c:v>13258.0</c:v>
                </c:pt>
                <c:pt idx="4">
                  <c:v>30752.0</c:v>
                </c:pt>
                <c:pt idx="5">
                  <c:v>70183.0</c:v>
                </c:pt>
                <c:pt idx="6">
                  <c:v>92655.0</c:v>
                </c:pt>
                <c:pt idx="7">
                  <c:v>6068.0</c:v>
                </c:pt>
                <c:pt idx="8">
                  <c:v>34070.0</c:v>
                </c:pt>
                <c:pt idx="9">
                  <c:v>77868.0</c:v>
                </c:pt>
                <c:pt idx="10">
                  <c:v>50870.0</c:v>
                </c:pt>
                <c:pt idx="11">
                  <c:v>97642.0</c:v>
                </c:pt>
                <c:pt idx="12">
                  <c:v>102772.0</c:v>
                </c:pt>
                <c:pt idx="13">
                  <c:v>94783.0</c:v>
                </c:pt>
                <c:pt idx="14">
                  <c:v>94727.0</c:v>
                </c:pt>
                <c:pt idx="15">
                  <c:v>87032.0</c:v>
                </c:pt>
                <c:pt idx="16">
                  <c:v>90611.0</c:v>
                </c:pt>
                <c:pt idx="17">
                  <c:v>120252.0</c:v>
                </c:pt>
                <c:pt idx="18">
                  <c:v>133883.0</c:v>
                </c:pt>
                <c:pt idx="19">
                  <c:v>157411.0</c:v>
                </c:pt>
                <c:pt idx="20">
                  <c:v>148032.0</c:v>
                </c:pt>
                <c:pt idx="21">
                  <c:v>147489.0</c:v>
                </c:pt>
                <c:pt idx="22">
                  <c:v>183800.0</c:v>
                </c:pt>
                <c:pt idx="23">
                  <c:v>190047.0</c:v>
                </c:pt>
                <c:pt idx="24">
                  <c:v>180605.0</c:v>
                </c:pt>
                <c:pt idx="25">
                  <c:v>201686.0</c:v>
                </c:pt>
                <c:pt idx="26">
                  <c:v>229606.0</c:v>
                </c:pt>
                <c:pt idx="27">
                  <c:v>280987.0</c:v>
                </c:pt>
                <c:pt idx="28">
                  <c:v>294648.0</c:v>
                </c:pt>
                <c:pt idx="29">
                  <c:v>297923.0</c:v>
                </c:pt>
                <c:pt idx="30">
                  <c:v>309761.0</c:v>
                </c:pt>
                <c:pt idx="31">
                  <c:v>304444.0</c:v>
                </c:pt>
                <c:pt idx="32">
                  <c:v>299981.0</c:v>
                </c:pt>
                <c:pt idx="33">
                  <c:v>253379.0</c:v>
                </c:pt>
                <c:pt idx="34">
                  <c:v>252478.0</c:v>
                </c:pt>
                <c:pt idx="35">
                  <c:v>243483.0</c:v>
                </c:pt>
                <c:pt idx="36">
                  <c:v>232072.0</c:v>
                </c:pt>
                <c:pt idx="37">
                  <c:v>234585.0</c:v>
                </c:pt>
                <c:pt idx="38">
                  <c:v>208097.0</c:v>
                </c:pt>
                <c:pt idx="39">
                  <c:v>191832.0</c:v>
                </c:pt>
                <c:pt idx="40">
                  <c:v>184036.0</c:v>
                </c:pt>
                <c:pt idx="41">
                  <c:v>175722.0</c:v>
                </c:pt>
                <c:pt idx="42">
                  <c:v>157080.0</c:v>
                </c:pt>
                <c:pt idx="43">
                  <c:v>166863.0</c:v>
                </c:pt>
                <c:pt idx="44">
                  <c:v>148838.0</c:v>
                </c:pt>
                <c:pt idx="45">
                  <c:v>147564.0</c:v>
                </c:pt>
                <c:pt idx="46">
                  <c:v>129072.0</c:v>
                </c:pt>
                <c:pt idx="47">
                  <c:v>128315.0</c:v>
                </c:pt>
                <c:pt idx="48">
                  <c:v>130932.0</c:v>
                </c:pt>
                <c:pt idx="49">
                  <c:v>100641.0</c:v>
                </c:pt>
                <c:pt idx="50">
                  <c:v>79311.0</c:v>
                </c:pt>
                <c:pt idx="51">
                  <c:v>96538.0</c:v>
                </c:pt>
                <c:pt idx="52">
                  <c:v>85978.0</c:v>
                </c:pt>
                <c:pt idx="53">
                  <c:v>67469.0</c:v>
                </c:pt>
                <c:pt idx="54">
                  <c:v>69325.0</c:v>
                </c:pt>
                <c:pt idx="55">
                  <c:v>60340.0</c:v>
                </c:pt>
                <c:pt idx="56">
                  <c:v>65344.0</c:v>
                </c:pt>
                <c:pt idx="57">
                  <c:v>134304.0</c:v>
                </c:pt>
                <c:pt idx="58">
                  <c:v>116919.0</c:v>
                </c:pt>
                <c:pt idx="59">
                  <c:v>93912.0</c:v>
                </c:pt>
                <c:pt idx="60">
                  <c:v>78402.0</c:v>
                </c:pt>
                <c:pt idx="61">
                  <c:v>165987.0</c:v>
                </c:pt>
                <c:pt idx="62">
                  <c:v>182156.0</c:v>
                </c:pt>
                <c:pt idx="63">
                  <c:v>135550.0</c:v>
                </c:pt>
                <c:pt idx="64">
                  <c:v>147150.0</c:v>
                </c:pt>
                <c:pt idx="65">
                  <c:v>147331.0</c:v>
                </c:pt>
                <c:pt idx="66">
                  <c:v>140356.0</c:v>
                </c:pt>
                <c:pt idx="67">
                  <c:v>122982.0</c:v>
                </c:pt>
                <c:pt idx="68">
                  <c:v>120989.0</c:v>
                </c:pt>
                <c:pt idx="69">
                  <c:v>71761.0</c:v>
                </c:pt>
                <c:pt idx="70">
                  <c:v>66005.0</c:v>
                </c:pt>
                <c:pt idx="71">
                  <c:v>55082.0</c:v>
                </c:pt>
                <c:pt idx="72">
                  <c:v>75506.0</c:v>
                </c:pt>
                <c:pt idx="73">
                  <c:v>3884.0</c:v>
                </c:pt>
                <c:pt idx="74">
                  <c:v>7291.0</c:v>
                </c:pt>
                <c:pt idx="75">
                  <c:v>28856.0</c:v>
                </c:pt>
                <c:pt idx="76">
                  <c:v>51663.0</c:v>
                </c:pt>
                <c:pt idx="77">
                  <c:v>107534.0</c:v>
                </c:pt>
                <c:pt idx="78">
                  <c:v>141265.0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9253400"/>
        <c:axId val="-2059262008"/>
      </c:lineChart>
      <c:lineChart>
        <c:grouping val="standard"/>
        <c:varyColors val="0"/>
        <c:ser>
          <c:idx val="0"/>
          <c:order val="2"/>
          <c:tx>
            <c:v>Profit, %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'Exp Data'!$A$16:$A$94</c:f>
              <c:numCache>
                <c:formatCode>mmm\-yy</c:formatCode>
                <c:ptCount val="79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</c:numCache>
            </c:numRef>
          </c:cat>
          <c:val>
            <c:numRef>
              <c:f>'Exp Data'!$H$16:$H$94</c:f>
              <c:numCache>
                <c:formatCode>0%</c:formatCode>
                <c:ptCount val="79"/>
                <c:pt idx="0">
                  <c:v>-0.0294402934531974</c:v>
                </c:pt>
                <c:pt idx="1">
                  <c:v>-0.00240340313424313</c:v>
                </c:pt>
                <c:pt idx="2">
                  <c:v>-0.0102910076895835</c:v>
                </c:pt>
                <c:pt idx="3">
                  <c:v>0.0105045146118765</c:v>
                </c:pt>
                <c:pt idx="4">
                  <c:v>0.0242009675035591</c:v>
                </c:pt>
                <c:pt idx="5">
                  <c:v>0.0557944042623894</c:v>
                </c:pt>
                <c:pt idx="6">
                  <c:v>0.0729337216624685</c:v>
                </c:pt>
                <c:pt idx="7">
                  <c:v>0.00536239466093547</c:v>
                </c:pt>
                <c:pt idx="8">
                  <c:v>0.0299144886396064</c:v>
                </c:pt>
                <c:pt idx="9">
                  <c:v>0.0663776899766005</c:v>
                </c:pt>
                <c:pt idx="10">
                  <c:v>0.0463743330328011</c:v>
                </c:pt>
                <c:pt idx="11">
                  <c:v>0.0858057038006297</c:v>
                </c:pt>
                <c:pt idx="12">
                  <c:v>0.0945958011216522</c:v>
                </c:pt>
                <c:pt idx="13">
                  <c:v>0.0897921715224397</c:v>
                </c:pt>
                <c:pt idx="14">
                  <c:v>0.0909554416562806</c:v>
                </c:pt>
                <c:pt idx="15">
                  <c:v>0.085091571796747</c:v>
                </c:pt>
                <c:pt idx="16">
                  <c:v>0.0884681250744467</c:v>
                </c:pt>
                <c:pt idx="17">
                  <c:v>0.114273985021567</c:v>
                </c:pt>
                <c:pt idx="18">
                  <c:v>0.125497036993988</c:v>
                </c:pt>
                <c:pt idx="19">
                  <c:v>0.142357543879958</c:v>
                </c:pt>
                <c:pt idx="20">
                  <c:v>0.136253310101643</c:v>
                </c:pt>
                <c:pt idx="21">
                  <c:v>0.136318515560879</c:v>
                </c:pt>
                <c:pt idx="22">
                  <c:v>0.163572319790115</c:v>
                </c:pt>
                <c:pt idx="23">
                  <c:v>0.167937966685813</c:v>
                </c:pt>
                <c:pt idx="24">
                  <c:v>0.15278395795935</c:v>
                </c:pt>
                <c:pt idx="25">
                  <c:v>0.164123271072832</c:v>
                </c:pt>
                <c:pt idx="26">
                  <c:v>0.182600445514358</c:v>
                </c:pt>
                <c:pt idx="27">
                  <c:v>0.210625301241847</c:v>
                </c:pt>
                <c:pt idx="28">
                  <c:v>0.206299150852508</c:v>
                </c:pt>
                <c:pt idx="29">
                  <c:v>0.207080220534878</c:v>
                </c:pt>
                <c:pt idx="30">
                  <c:v>0.209133492307401</c:v>
                </c:pt>
                <c:pt idx="31">
                  <c:v>0.20582194512839</c:v>
                </c:pt>
                <c:pt idx="32">
                  <c:v>0.202824853027184</c:v>
                </c:pt>
                <c:pt idx="33">
                  <c:v>0.178007193941352</c:v>
                </c:pt>
                <c:pt idx="34">
                  <c:v>0.173361641235788</c:v>
                </c:pt>
                <c:pt idx="35">
                  <c:v>0.168743827598992</c:v>
                </c:pt>
                <c:pt idx="36">
                  <c:v>0.167644409384885</c:v>
                </c:pt>
                <c:pt idx="37">
                  <c:v>0.169295631734641</c:v>
                </c:pt>
                <c:pt idx="38">
                  <c:v>0.15264077481897</c:v>
                </c:pt>
                <c:pt idx="39">
                  <c:v>0.139892246974369</c:v>
                </c:pt>
                <c:pt idx="40">
                  <c:v>0.136979857479498</c:v>
                </c:pt>
                <c:pt idx="41">
                  <c:v>0.12942394772428</c:v>
                </c:pt>
                <c:pt idx="42">
                  <c:v>0.116213860729806</c:v>
                </c:pt>
                <c:pt idx="43">
                  <c:v>0.122531478627138</c:v>
                </c:pt>
                <c:pt idx="44">
                  <c:v>0.111429292282722</c:v>
                </c:pt>
                <c:pt idx="45">
                  <c:v>0.109976791918758</c:v>
                </c:pt>
                <c:pt idx="46">
                  <c:v>0.0995397505028195</c:v>
                </c:pt>
                <c:pt idx="47">
                  <c:v>0.0972047986133837</c:v>
                </c:pt>
                <c:pt idx="48">
                  <c:v>0.0983226899439495</c:v>
                </c:pt>
                <c:pt idx="49">
                  <c:v>0.0785400008428295</c:v>
                </c:pt>
                <c:pt idx="50">
                  <c:v>0.063177037654824</c:v>
                </c:pt>
                <c:pt idx="51">
                  <c:v>0.0767565358502747</c:v>
                </c:pt>
                <c:pt idx="52">
                  <c:v>0.070435781357268</c:v>
                </c:pt>
                <c:pt idx="53">
                  <c:v>0.056243711356363</c:v>
                </c:pt>
                <c:pt idx="54">
                  <c:v>0.0596348702914689</c:v>
                </c:pt>
                <c:pt idx="55">
                  <c:v>0.0514716419743819</c:v>
                </c:pt>
                <c:pt idx="56">
                  <c:v>0.0549732427768958</c:v>
                </c:pt>
                <c:pt idx="57">
                  <c:v>0.105071114518627</c:v>
                </c:pt>
                <c:pt idx="58">
                  <c:v>0.0928246090527791</c:v>
                </c:pt>
                <c:pt idx="59">
                  <c:v>0.0781736832247726</c:v>
                </c:pt>
                <c:pt idx="60">
                  <c:v>0.0665240057290641</c:v>
                </c:pt>
                <c:pt idx="61">
                  <c:v>0.137985241073277</c:v>
                </c:pt>
                <c:pt idx="62">
                  <c:v>0.151019294846445</c:v>
                </c:pt>
                <c:pt idx="63">
                  <c:v>0.119829136293156</c:v>
                </c:pt>
                <c:pt idx="64">
                  <c:v>0.13058039279718</c:v>
                </c:pt>
                <c:pt idx="65">
                  <c:v>0.132267931192055</c:v>
                </c:pt>
                <c:pt idx="66">
                  <c:v>0.126303588992305</c:v>
                </c:pt>
                <c:pt idx="67">
                  <c:v>0.113619523984619</c:v>
                </c:pt>
                <c:pt idx="68">
                  <c:v>0.112755481952357</c:v>
                </c:pt>
                <c:pt idx="69">
                  <c:v>0.0705522980301475</c:v>
                </c:pt>
                <c:pt idx="70">
                  <c:v>0.0655772396656609</c:v>
                </c:pt>
                <c:pt idx="71">
                  <c:v>0.0561349799539767</c:v>
                </c:pt>
                <c:pt idx="72">
                  <c:v>0.0734258457888032</c:v>
                </c:pt>
                <c:pt idx="73">
                  <c:v>0.00377533087606339</c:v>
                </c:pt>
                <c:pt idx="74">
                  <c:v>0.00687813317786545</c:v>
                </c:pt>
                <c:pt idx="75">
                  <c:v>0.0246119204394255</c:v>
                </c:pt>
                <c:pt idx="76">
                  <c:v>0.0418998355247151</c:v>
                </c:pt>
                <c:pt idx="77">
                  <c:v>0.0807938889544218</c:v>
                </c:pt>
                <c:pt idx="78">
                  <c:v>0.099222598857358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9263944"/>
        <c:axId val="-2059270184"/>
      </c:lineChart>
      <c:catAx>
        <c:axId val="-2059253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12 Months Ending</a:t>
                </a:r>
              </a:p>
            </c:rich>
          </c:tx>
          <c:layout>
            <c:manualLayout>
              <c:xMode val="edge"/>
              <c:yMode val="edge"/>
              <c:x val="0.431111111111111"/>
              <c:y val="0.956427015250545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92620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592620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Sales/10  7 Profit</a:t>
                </a:r>
              </a:p>
            </c:rich>
          </c:tx>
          <c:layout>
            <c:manualLayout>
              <c:xMode val="edge"/>
              <c:yMode val="edge"/>
              <c:x val="0.0118518518518518"/>
              <c:y val="0.459694989106754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9253400"/>
        <c:crosses val="autoZero"/>
        <c:crossBetween val="between"/>
      </c:valAx>
      <c:catAx>
        <c:axId val="-205926394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2059270184"/>
        <c:crosses val="autoZero"/>
        <c:auto val="0"/>
        <c:lblAlgn val="ctr"/>
        <c:lblOffset val="100"/>
        <c:noMultiLvlLbl val="0"/>
      </c:catAx>
      <c:valAx>
        <c:axId val="-205927018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Profit</a:t>
                </a:r>
              </a:p>
            </c:rich>
          </c:tx>
          <c:layout>
            <c:manualLayout>
              <c:xMode val="edge"/>
              <c:yMode val="edge"/>
              <c:x val="0.92"/>
              <c:y val="0.50544662309368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9263944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1FB714" mc:Ignorable="a14" a14:legacySpreadsheetColorIndex="1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6666666666667"/>
          <c:y val="0.235294117647059"/>
          <c:w val="0.238518518518518"/>
          <c:h val="0.198257080610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88888888888889"/>
          <c:y val="0.0217864923747277"/>
          <c:w val="0.688888888888889"/>
          <c:h val="0.932461873638344"/>
        </c:manualLayout>
      </c:layout>
      <c:barChart>
        <c:barDir val="col"/>
        <c:grouping val="clustered"/>
        <c:varyColors val="0"/>
        <c:ser>
          <c:idx val="1"/>
          <c:order val="0"/>
          <c:tx>
            <c:v>Quarter Profit</c:v>
          </c:tx>
          <c:spPr>
            <a:solidFill>
              <a:srgbClr val="802060"/>
            </a:solidFill>
            <a:ln w="381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'Exp Data'!$A$5:$A$94</c:f>
              <c:numCache>
                <c:formatCode>mmm\-yy</c:formatCode>
                <c:ptCount val="90"/>
                <c:pt idx="0">
                  <c:v>34334.0</c:v>
                </c:pt>
                <c:pt idx="1">
                  <c:v>34365.0</c:v>
                </c:pt>
                <c:pt idx="2">
                  <c:v>34393.0</c:v>
                </c:pt>
                <c:pt idx="3">
                  <c:v>34424.0</c:v>
                </c:pt>
                <c:pt idx="4">
                  <c:v>34454.0</c:v>
                </c:pt>
                <c:pt idx="5">
                  <c:v>34485.0</c:v>
                </c:pt>
                <c:pt idx="6">
                  <c:v>34515.0</c:v>
                </c:pt>
                <c:pt idx="7">
                  <c:v>34546.0</c:v>
                </c:pt>
                <c:pt idx="8">
                  <c:v>34577.0</c:v>
                </c:pt>
                <c:pt idx="9">
                  <c:v>34607.0</c:v>
                </c:pt>
                <c:pt idx="10">
                  <c:v>34638.0</c:v>
                </c:pt>
                <c:pt idx="11">
                  <c:v>34668.0</c:v>
                </c:pt>
                <c:pt idx="12">
                  <c:v>34699.0</c:v>
                </c:pt>
                <c:pt idx="13">
                  <c:v>34730.0</c:v>
                </c:pt>
                <c:pt idx="14">
                  <c:v>34758.0</c:v>
                </c:pt>
                <c:pt idx="15">
                  <c:v>34789.0</c:v>
                </c:pt>
                <c:pt idx="16">
                  <c:v>34819.0</c:v>
                </c:pt>
                <c:pt idx="17">
                  <c:v>34850.0</c:v>
                </c:pt>
                <c:pt idx="18">
                  <c:v>34880.0</c:v>
                </c:pt>
                <c:pt idx="19">
                  <c:v>34911.0</c:v>
                </c:pt>
                <c:pt idx="20">
                  <c:v>34942.0</c:v>
                </c:pt>
                <c:pt idx="21">
                  <c:v>34972.0</c:v>
                </c:pt>
                <c:pt idx="22">
                  <c:v>35003.0</c:v>
                </c:pt>
                <c:pt idx="23">
                  <c:v>35033.0</c:v>
                </c:pt>
                <c:pt idx="24">
                  <c:v>35064.0</c:v>
                </c:pt>
                <c:pt idx="25">
                  <c:v>35095.0</c:v>
                </c:pt>
                <c:pt idx="26">
                  <c:v>35124.0</c:v>
                </c:pt>
                <c:pt idx="27">
                  <c:v>35155.0</c:v>
                </c:pt>
                <c:pt idx="28">
                  <c:v>35185.0</c:v>
                </c:pt>
                <c:pt idx="29">
                  <c:v>35216.0</c:v>
                </c:pt>
                <c:pt idx="30">
                  <c:v>35246.0</c:v>
                </c:pt>
                <c:pt idx="31">
                  <c:v>35277.0</c:v>
                </c:pt>
                <c:pt idx="32">
                  <c:v>35308.0</c:v>
                </c:pt>
                <c:pt idx="33">
                  <c:v>35338.0</c:v>
                </c:pt>
                <c:pt idx="34">
                  <c:v>35369.0</c:v>
                </c:pt>
                <c:pt idx="35">
                  <c:v>35399.0</c:v>
                </c:pt>
                <c:pt idx="36">
                  <c:v>35430.0</c:v>
                </c:pt>
                <c:pt idx="37">
                  <c:v>35461.0</c:v>
                </c:pt>
                <c:pt idx="38">
                  <c:v>35489.0</c:v>
                </c:pt>
                <c:pt idx="39">
                  <c:v>35520.0</c:v>
                </c:pt>
                <c:pt idx="40">
                  <c:v>35550.0</c:v>
                </c:pt>
                <c:pt idx="41">
                  <c:v>35581.0</c:v>
                </c:pt>
                <c:pt idx="42">
                  <c:v>35611.0</c:v>
                </c:pt>
                <c:pt idx="43">
                  <c:v>35642.0</c:v>
                </c:pt>
                <c:pt idx="44">
                  <c:v>35673.0</c:v>
                </c:pt>
                <c:pt idx="45">
                  <c:v>35703.0</c:v>
                </c:pt>
                <c:pt idx="46">
                  <c:v>35734.0</c:v>
                </c:pt>
                <c:pt idx="47">
                  <c:v>35764.0</c:v>
                </c:pt>
                <c:pt idx="48">
                  <c:v>35796.0</c:v>
                </c:pt>
                <c:pt idx="49">
                  <c:v>35827.0</c:v>
                </c:pt>
                <c:pt idx="50">
                  <c:v>35855.0</c:v>
                </c:pt>
                <c:pt idx="51">
                  <c:v>35886.0</c:v>
                </c:pt>
                <c:pt idx="52">
                  <c:v>35916.0</c:v>
                </c:pt>
                <c:pt idx="53">
                  <c:v>35947.0</c:v>
                </c:pt>
                <c:pt idx="54">
                  <c:v>35977.0</c:v>
                </c:pt>
                <c:pt idx="55">
                  <c:v>36008.0</c:v>
                </c:pt>
                <c:pt idx="56">
                  <c:v>36039.0</c:v>
                </c:pt>
                <c:pt idx="57">
                  <c:v>36069.0</c:v>
                </c:pt>
                <c:pt idx="58">
                  <c:v>36100.0</c:v>
                </c:pt>
                <c:pt idx="59">
                  <c:v>36130.0</c:v>
                </c:pt>
                <c:pt idx="60">
                  <c:v>36161.0</c:v>
                </c:pt>
                <c:pt idx="61">
                  <c:v>36192.0</c:v>
                </c:pt>
                <c:pt idx="62">
                  <c:v>36220.0</c:v>
                </c:pt>
                <c:pt idx="63">
                  <c:v>36251.0</c:v>
                </c:pt>
                <c:pt idx="64">
                  <c:v>36281.0</c:v>
                </c:pt>
                <c:pt idx="65">
                  <c:v>36312.0</c:v>
                </c:pt>
                <c:pt idx="66">
                  <c:v>36342.0</c:v>
                </c:pt>
                <c:pt idx="67">
                  <c:v>36373.0</c:v>
                </c:pt>
                <c:pt idx="68">
                  <c:v>36404.0</c:v>
                </c:pt>
                <c:pt idx="69">
                  <c:v>36434.0</c:v>
                </c:pt>
                <c:pt idx="70">
                  <c:v>36465.0</c:v>
                </c:pt>
                <c:pt idx="71">
                  <c:v>36495.0</c:v>
                </c:pt>
                <c:pt idx="72">
                  <c:v>36526.0</c:v>
                </c:pt>
                <c:pt idx="73">
                  <c:v>36557.0</c:v>
                </c:pt>
                <c:pt idx="74">
                  <c:v>36586.0</c:v>
                </c:pt>
                <c:pt idx="75">
                  <c:v>36617.0</c:v>
                </c:pt>
                <c:pt idx="76">
                  <c:v>36647.0</c:v>
                </c:pt>
                <c:pt idx="77">
                  <c:v>36678.0</c:v>
                </c:pt>
                <c:pt idx="78">
                  <c:v>36708.0</c:v>
                </c:pt>
                <c:pt idx="79">
                  <c:v>36739.0</c:v>
                </c:pt>
                <c:pt idx="80">
                  <c:v>36770.0</c:v>
                </c:pt>
                <c:pt idx="81">
                  <c:v>36800.0</c:v>
                </c:pt>
                <c:pt idx="82">
                  <c:v>36831.0</c:v>
                </c:pt>
                <c:pt idx="83">
                  <c:v>36861.0</c:v>
                </c:pt>
                <c:pt idx="84">
                  <c:v>36892.0</c:v>
                </c:pt>
                <c:pt idx="85">
                  <c:v>36923.0</c:v>
                </c:pt>
                <c:pt idx="86">
                  <c:v>36951.0</c:v>
                </c:pt>
                <c:pt idx="87">
                  <c:v>36982.0</c:v>
                </c:pt>
                <c:pt idx="88">
                  <c:v>37012.0</c:v>
                </c:pt>
                <c:pt idx="89">
                  <c:v>37043.0</c:v>
                </c:pt>
              </c:numCache>
            </c:numRef>
          </c:cat>
          <c:val>
            <c:numRef>
              <c:f>'Exp Data'!$I$5:$I$94</c:f>
              <c:numCache>
                <c:formatCode>General_)</c:formatCode>
                <c:ptCount val="90"/>
                <c:pt idx="2">
                  <c:v>-38881.0</c:v>
                </c:pt>
                <c:pt idx="5">
                  <c:v>-65810.0</c:v>
                </c:pt>
                <c:pt idx="8">
                  <c:v>65278.0</c:v>
                </c:pt>
                <c:pt idx="11">
                  <c:v>1595.0</c:v>
                </c:pt>
                <c:pt idx="14">
                  <c:v>12195.0</c:v>
                </c:pt>
                <c:pt idx="17">
                  <c:v>13587.0</c:v>
                </c:pt>
                <c:pt idx="20">
                  <c:v>50491.0</c:v>
                </c:pt>
                <c:pt idx="23">
                  <c:v>26499.0</c:v>
                </c:pt>
                <c:pt idx="26">
                  <c:v>-3545.0</c:v>
                </c:pt>
                <c:pt idx="29">
                  <c:v>60438.0</c:v>
                </c:pt>
                <c:pt idx="32">
                  <c:v>64097.0</c:v>
                </c:pt>
                <c:pt idx="35">
                  <c:v>59615.0</c:v>
                </c:pt>
                <c:pt idx="38">
                  <c:v>96837.0</c:v>
                </c:pt>
                <c:pt idx="41" formatCode="&quot;$&quot;#,##0_);[Red]\(&quot;$&quot;#,##0\)">
                  <c:v>89212.0</c:v>
                </c:pt>
                <c:pt idx="44" formatCode="&quot;$&quot;#,##0_);[Red]\(&quot;$&quot;#,##0\)">
                  <c:v>7715.0</c:v>
                </c:pt>
                <c:pt idx="47" formatCode="&quot;$&quot;#,##0_);[Red]\(&quot;$&quot;#,##0\)">
                  <c:v>38308.0</c:v>
                </c:pt>
                <c:pt idx="50" formatCode="&quot;$&quot;#,##0_);[Red]\(&quot;$&quot;#,##0\)">
                  <c:v>56597.0</c:v>
                </c:pt>
                <c:pt idx="53" formatCode="&quot;$&quot;#,##0_);[Red]\(&quot;$&quot;#,##0\)">
                  <c:v>54460.0</c:v>
                </c:pt>
                <c:pt idx="54" formatCode="&quot;$&quot;#,##0_);[Red]\(&quot;$&quot;#,##0\)">
                  <c:v>45722.0</c:v>
                </c:pt>
                <c:pt idx="55" formatCode="&quot;$&quot;#,##0_);[Red]\(&quot;$&quot;#,##0\)">
                  <c:v>25055.0</c:v>
                </c:pt>
                <c:pt idx="56" formatCode="&quot;$&quot;#,##0_);[Red]\(&quot;$&quot;#,##0\)">
                  <c:v>-1801.0</c:v>
                </c:pt>
                <c:pt idx="57" formatCode="&quot;$&quot;#,##0_);[Red]\(&quot;$&quot;#,##0\)">
                  <c:v>-9588.0</c:v>
                </c:pt>
                <c:pt idx="58" formatCode="&quot;$&quot;#,##0_);[Red]\(&quot;$&quot;#,##0\)">
                  <c:v>10551.0</c:v>
                </c:pt>
                <c:pt idx="59" formatCode="&quot;$&quot;#,##0_);[Red]\(&quot;$&quot;#,##0\)">
                  <c:v>21676.0</c:v>
                </c:pt>
                <c:pt idx="60" formatCode="&quot;$&quot;#,##0_);[Red]\(&quot;$&quot;#,##0\)">
                  <c:v>691.0</c:v>
                </c:pt>
                <c:pt idx="61" formatCode="&quot;$&quot;#,##0_);[Red]\(&quot;$&quot;#,##0\)">
                  <c:v>-30313.0</c:v>
                </c:pt>
                <c:pt idx="62" formatCode="&quot;$&quot;#,##0_);[Red]\(&quot;$&quot;#,##0\)">
                  <c:v>22203.0</c:v>
                </c:pt>
                <c:pt idx="63" formatCode="&quot;$&quot;#,##0_);[Red]\(&quot;$&quot;#,##0\)">
                  <c:v>49153.0</c:v>
                </c:pt>
                <c:pt idx="64" formatCode="&quot;$&quot;#,##0_);[Red]\(&quot;$&quot;#,##0\)">
                  <c:v>62176.0</c:v>
                </c:pt>
                <c:pt idx="65" formatCode="&quot;$&quot;#,##0_);[Red]\(&quot;$&quot;#,##0\)">
                  <c:v>27247.0</c:v>
                </c:pt>
                <c:pt idx="66" formatCode="&quot;$&quot;#,##0_);[Red]\(&quot;$&quot;#,##0\)">
                  <c:v>20084.0</c:v>
                </c:pt>
                <c:pt idx="67" formatCode="&quot;$&quot;#,##0_);[Red]\(&quot;$&quot;#,##0\)">
                  <c:v>22930.0</c:v>
                </c:pt>
                <c:pt idx="68" formatCode="&quot;$&quot;#,##0_);[Red]\(&quot;$&quot;#,##0\)">
                  <c:v>63178.0</c:v>
                </c:pt>
                <c:pt idx="69" formatCode="&quot;$&quot;#,##0_);[Red]\(&quot;$&quot;#,##0\)">
                  <c:v>46991.0</c:v>
                </c:pt>
                <c:pt idx="70" formatCode="&quot;$&quot;#,##0_);[Red]\(&quot;$&quot;#,##0\)">
                  <c:v>39119.0</c:v>
                </c:pt>
                <c:pt idx="71" formatCode="&quot;$&quot;#,##0_);[Red]\(&quot;$&quot;#,##0\)">
                  <c:v>-34226.0</c:v>
                </c:pt>
                <c:pt idx="72" formatCode="&quot;$&quot;#,##0_);[Red]\(&quot;$&quot;#,##0\)">
                  <c:v>49759.0</c:v>
                </c:pt>
                <c:pt idx="73" formatCode="&quot;$&quot;#,##0_);[Red]\(&quot;$&quot;#,##0\)">
                  <c:v>57931.0</c:v>
                </c:pt>
                <c:pt idx="74" formatCode="&quot;$&quot;#,##0_);[Red]\(&quot;$&quot;#,##0\)">
                  <c:v>79351.0</c:v>
                </c:pt>
                <c:pt idx="75" formatCode="&quot;$&quot;#,##0_);[Red]\(&quot;$&quot;#,##0\)">
                  <c:v>30316.0</c:v>
                </c:pt>
                <c:pt idx="76" formatCode="&quot;$&quot;#,##0_);[Red]\(&quot;$&quot;#,##0\)">
                  <c:v>27351.0</c:v>
                </c:pt>
                <c:pt idx="77" formatCode="&quot;$&quot;#,##0_);[Red]\(&quot;$&quot;#,##0\)">
                  <c:v>32053.0</c:v>
                </c:pt>
                <c:pt idx="78" formatCode="&quot;$&quot;#,##0_);[Red]\(&quot;$&quot;#,##0\)">
                  <c:v>-4084.0</c:v>
                </c:pt>
                <c:pt idx="79" formatCode="&quot;$&quot;#,##0_);[Red]\(&quot;$&quot;#,##0\)">
                  <c:v>-3412.0</c:v>
                </c:pt>
                <c:pt idx="80" formatCode="&quot;$&quot;#,##0_);[Red]\(&quot;$&quot;#,##0\)">
                  <c:v>-5417.0</c:v>
                </c:pt>
                <c:pt idx="81" formatCode="&quot;$&quot;#,##0_);[Red]\(&quot;$&quot;#,##0\)">
                  <c:v>-9986.0</c:v>
                </c:pt>
                <c:pt idx="82" formatCode="&quot;$&quot;#,##0_);[Red]\(&quot;$&quot;#,##0\)">
                  <c:v>-26788.0</c:v>
                </c:pt>
                <c:pt idx="83" formatCode="&quot;$&quot;#,##0_);[Red]\(&quot;$&quot;#,##0\)">
                  <c:v>-30481.0</c:v>
                </c:pt>
                <c:pt idx="84" formatCode="&quot;$&quot;#,##0_);[Red]\(&quot;$&quot;#,##0\)">
                  <c:v>-12362.0</c:v>
                </c:pt>
                <c:pt idx="85" formatCode="&quot;$&quot;#,##0_);[Red]\(&quot;$&quot;#,##0\)">
                  <c:v>10140.0</c:v>
                </c:pt>
                <c:pt idx="86" formatCode="&quot;$&quot;#,##0_);[Red]\(&quot;$&quot;#,##0\)">
                  <c:v>32701.0</c:v>
                </c:pt>
                <c:pt idx="87" formatCode="&quot;$&quot;#,##0_);[Red]\(&quot;$&quot;#,##0\)">
                  <c:v>78095.0</c:v>
                </c:pt>
                <c:pt idx="88" formatCode="&quot;$&quot;#,##0_);[Red]\(&quot;$&quot;#,##0\)">
                  <c:v>127594.0</c:v>
                </c:pt>
                <c:pt idx="89" formatCode="&quot;$&quot;#,##0_);[Red]\(&quot;$&quot;#,##0\)">
                  <c:v>144462.0</c:v>
                </c:pt>
              </c:numCache>
            </c:numRef>
          </c:val>
        </c:ser>
        <c:ser>
          <c:idx val="0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'Exp Data'!$A$5:$A$53</c:f>
              <c:numCache>
                <c:formatCode>mmm\-yy</c:formatCode>
                <c:ptCount val="49"/>
                <c:pt idx="0">
                  <c:v>34334.0</c:v>
                </c:pt>
                <c:pt idx="1">
                  <c:v>34365.0</c:v>
                </c:pt>
                <c:pt idx="2">
                  <c:v>34393.0</c:v>
                </c:pt>
                <c:pt idx="3">
                  <c:v>34424.0</c:v>
                </c:pt>
                <c:pt idx="4">
                  <c:v>34454.0</c:v>
                </c:pt>
                <c:pt idx="5">
                  <c:v>34485.0</c:v>
                </c:pt>
                <c:pt idx="6">
                  <c:v>34515.0</c:v>
                </c:pt>
                <c:pt idx="7">
                  <c:v>34546.0</c:v>
                </c:pt>
                <c:pt idx="8">
                  <c:v>34577.0</c:v>
                </c:pt>
                <c:pt idx="9">
                  <c:v>34607.0</c:v>
                </c:pt>
                <c:pt idx="10">
                  <c:v>34638.0</c:v>
                </c:pt>
                <c:pt idx="11">
                  <c:v>34668.0</c:v>
                </c:pt>
                <c:pt idx="12">
                  <c:v>34699.0</c:v>
                </c:pt>
                <c:pt idx="13">
                  <c:v>34730.0</c:v>
                </c:pt>
                <c:pt idx="14">
                  <c:v>34758.0</c:v>
                </c:pt>
                <c:pt idx="15">
                  <c:v>34789.0</c:v>
                </c:pt>
                <c:pt idx="16">
                  <c:v>34819.0</c:v>
                </c:pt>
                <c:pt idx="17">
                  <c:v>34850.0</c:v>
                </c:pt>
                <c:pt idx="18">
                  <c:v>34880.0</c:v>
                </c:pt>
                <c:pt idx="19">
                  <c:v>34911.0</c:v>
                </c:pt>
                <c:pt idx="20">
                  <c:v>34942.0</c:v>
                </c:pt>
                <c:pt idx="21">
                  <c:v>34972.0</c:v>
                </c:pt>
                <c:pt idx="22">
                  <c:v>35003.0</c:v>
                </c:pt>
                <c:pt idx="23">
                  <c:v>35033.0</c:v>
                </c:pt>
                <c:pt idx="24">
                  <c:v>35064.0</c:v>
                </c:pt>
                <c:pt idx="25">
                  <c:v>35095.0</c:v>
                </c:pt>
                <c:pt idx="26">
                  <c:v>35124.0</c:v>
                </c:pt>
                <c:pt idx="27">
                  <c:v>35155.0</c:v>
                </c:pt>
                <c:pt idx="28">
                  <c:v>35185.0</c:v>
                </c:pt>
                <c:pt idx="29">
                  <c:v>35216.0</c:v>
                </c:pt>
                <c:pt idx="30">
                  <c:v>35246.0</c:v>
                </c:pt>
                <c:pt idx="31">
                  <c:v>35277.0</c:v>
                </c:pt>
                <c:pt idx="32">
                  <c:v>35308.0</c:v>
                </c:pt>
                <c:pt idx="33">
                  <c:v>35338.0</c:v>
                </c:pt>
                <c:pt idx="34">
                  <c:v>35369.0</c:v>
                </c:pt>
                <c:pt idx="35">
                  <c:v>35399.0</c:v>
                </c:pt>
                <c:pt idx="36">
                  <c:v>35430.0</c:v>
                </c:pt>
                <c:pt idx="37">
                  <c:v>35461.0</c:v>
                </c:pt>
                <c:pt idx="38">
                  <c:v>35489.0</c:v>
                </c:pt>
                <c:pt idx="39">
                  <c:v>35520.0</c:v>
                </c:pt>
                <c:pt idx="40">
                  <c:v>35550.0</c:v>
                </c:pt>
                <c:pt idx="41">
                  <c:v>35581.0</c:v>
                </c:pt>
                <c:pt idx="42">
                  <c:v>35611.0</c:v>
                </c:pt>
                <c:pt idx="43">
                  <c:v>35642.0</c:v>
                </c:pt>
                <c:pt idx="44">
                  <c:v>35673.0</c:v>
                </c:pt>
                <c:pt idx="45">
                  <c:v>35703.0</c:v>
                </c:pt>
                <c:pt idx="46">
                  <c:v>35734.0</c:v>
                </c:pt>
                <c:pt idx="47">
                  <c:v>35764.0</c:v>
                </c:pt>
                <c:pt idx="48">
                  <c:v>35796.0</c:v>
                </c:pt>
              </c:numCache>
            </c:numRef>
          </c:cat>
          <c:val>
            <c:numRef>
              <c:f>'By Team'!$C$94:$C$150</c:f>
              <c:numCache>
                <c:formatCode>General_)</c:formatCode>
                <c:ptCount val="5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59309240"/>
        <c:axId val="-2059303576"/>
      </c:barChart>
      <c:lineChart>
        <c:grouping val="standard"/>
        <c:varyColors val="0"/>
        <c:ser>
          <c:idx val="2"/>
          <c:order val="2"/>
          <c:tx>
            <c:strRef>
              <c:f>'Exp Data'!$C$5</c:f>
              <c:strCache>
                <c:ptCount val="1"/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'Exp Data'!$A$5:$A$94</c:f>
              <c:numCache>
                <c:formatCode>mmm\-yy</c:formatCode>
                <c:ptCount val="90"/>
                <c:pt idx="0">
                  <c:v>34334.0</c:v>
                </c:pt>
                <c:pt idx="1">
                  <c:v>34365.0</c:v>
                </c:pt>
                <c:pt idx="2">
                  <c:v>34393.0</c:v>
                </c:pt>
                <c:pt idx="3">
                  <c:v>34424.0</c:v>
                </c:pt>
                <c:pt idx="4">
                  <c:v>34454.0</c:v>
                </c:pt>
                <c:pt idx="5">
                  <c:v>34485.0</c:v>
                </c:pt>
                <c:pt idx="6">
                  <c:v>34515.0</c:v>
                </c:pt>
                <c:pt idx="7">
                  <c:v>34546.0</c:v>
                </c:pt>
                <c:pt idx="8">
                  <c:v>34577.0</c:v>
                </c:pt>
                <c:pt idx="9">
                  <c:v>34607.0</c:v>
                </c:pt>
                <c:pt idx="10">
                  <c:v>34638.0</c:v>
                </c:pt>
                <c:pt idx="11">
                  <c:v>34668.0</c:v>
                </c:pt>
                <c:pt idx="12">
                  <c:v>34699.0</c:v>
                </c:pt>
                <c:pt idx="13">
                  <c:v>34730.0</c:v>
                </c:pt>
                <c:pt idx="14">
                  <c:v>34758.0</c:v>
                </c:pt>
                <c:pt idx="15">
                  <c:v>34789.0</c:v>
                </c:pt>
                <c:pt idx="16">
                  <c:v>34819.0</c:v>
                </c:pt>
                <c:pt idx="17">
                  <c:v>34850.0</c:v>
                </c:pt>
                <c:pt idx="18">
                  <c:v>34880.0</c:v>
                </c:pt>
                <c:pt idx="19">
                  <c:v>34911.0</c:v>
                </c:pt>
                <c:pt idx="20">
                  <c:v>34942.0</c:v>
                </c:pt>
                <c:pt idx="21">
                  <c:v>34972.0</c:v>
                </c:pt>
                <c:pt idx="22">
                  <c:v>35003.0</c:v>
                </c:pt>
                <c:pt idx="23">
                  <c:v>35033.0</c:v>
                </c:pt>
                <c:pt idx="24">
                  <c:v>35064.0</c:v>
                </c:pt>
                <c:pt idx="25">
                  <c:v>35095.0</c:v>
                </c:pt>
                <c:pt idx="26">
                  <c:v>35124.0</c:v>
                </c:pt>
                <c:pt idx="27">
                  <c:v>35155.0</c:v>
                </c:pt>
                <c:pt idx="28">
                  <c:v>35185.0</c:v>
                </c:pt>
                <c:pt idx="29">
                  <c:v>35216.0</c:v>
                </c:pt>
                <c:pt idx="30">
                  <c:v>35246.0</c:v>
                </c:pt>
                <c:pt idx="31">
                  <c:v>35277.0</c:v>
                </c:pt>
                <c:pt idx="32">
                  <c:v>35308.0</c:v>
                </c:pt>
                <c:pt idx="33">
                  <c:v>35338.0</c:v>
                </c:pt>
                <c:pt idx="34">
                  <c:v>35369.0</c:v>
                </c:pt>
                <c:pt idx="35">
                  <c:v>35399.0</c:v>
                </c:pt>
                <c:pt idx="36">
                  <c:v>35430.0</c:v>
                </c:pt>
                <c:pt idx="37">
                  <c:v>35461.0</c:v>
                </c:pt>
                <c:pt idx="38">
                  <c:v>35489.0</c:v>
                </c:pt>
                <c:pt idx="39">
                  <c:v>35520.0</c:v>
                </c:pt>
                <c:pt idx="40">
                  <c:v>35550.0</c:v>
                </c:pt>
                <c:pt idx="41">
                  <c:v>35581.0</c:v>
                </c:pt>
                <c:pt idx="42">
                  <c:v>35611.0</c:v>
                </c:pt>
                <c:pt idx="43">
                  <c:v>35642.0</c:v>
                </c:pt>
                <c:pt idx="44">
                  <c:v>35673.0</c:v>
                </c:pt>
                <c:pt idx="45">
                  <c:v>35703.0</c:v>
                </c:pt>
                <c:pt idx="46">
                  <c:v>35734.0</c:v>
                </c:pt>
                <c:pt idx="47">
                  <c:v>35764.0</c:v>
                </c:pt>
                <c:pt idx="48">
                  <c:v>35796.0</c:v>
                </c:pt>
                <c:pt idx="49">
                  <c:v>35827.0</c:v>
                </c:pt>
                <c:pt idx="50">
                  <c:v>35855.0</c:v>
                </c:pt>
                <c:pt idx="51">
                  <c:v>35886.0</c:v>
                </c:pt>
                <c:pt idx="52">
                  <c:v>35916.0</c:v>
                </c:pt>
                <c:pt idx="53">
                  <c:v>35947.0</c:v>
                </c:pt>
                <c:pt idx="54">
                  <c:v>35977.0</c:v>
                </c:pt>
                <c:pt idx="55">
                  <c:v>36008.0</c:v>
                </c:pt>
                <c:pt idx="56">
                  <c:v>36039.0</c:v>
                </c:pt>
                <c:pt idx="57">
                  <c:v>36069.0</c:v>
                </c:pt>
                <c:pt idx="58">
                  <c:v>36100.0</c:v>
                </c:pt>
                <c:pt idx="59">
                  <c:v>36130.0</c:v>
                </c:pt>
                <c:pt idx="60">
                  <c:v>36161.0</c:v>
                </c:pt>
                <c:pt idx="61">
                  <c:v>36192.0</c:v>
                </c:pt>
                <c:pt idx="62">
                  <c:v>36220.0</c:v>
                </c:pt>
                <c:pt idx="63">
                  <c:v>36251.0</c:v>
                </c:pt>
                <c:pt idx="64">
                  <c:v>36281.0</c:v>
                </c:pt>
                <c:pt idx="65">
                  <c:v>36312.0</c:v>
                </c:pt>
                <c:pt idx="66">
                  <c:v>36342.0</c:v>
                </c:pt>
                <c:pt idx="67">
                  <c:v>36373.0</c:v>
                </c:pt>
                <c:pt idx="68">
                  <c:v>36404.0</c:v>
                </c:pt>
                <c:pt idx="69">
                  <c:v>36434.0</c:v>
                </c:pt>
                <c:pt idx="70">
                  <c:v>36465.0</c:v>
                </c:pt>
                <c:pt idx="71">
                  <c:v>36495.0</c:v>
                </c:pt>
                <c:pt idx="72">
                  <c:v>36526.0</c:v>
                </c:pt>
                <c:pt idx="73">
                  <c:v>36557.0</c:v>
                </c:pt>
                <c:pt idx="74">
                  <c:v>36586.0</c:v>
                </c:pt>
                <c:pt idx="75">
                  <c:v>36617.0</c:v>
                </c:pt>
                <c:pt idx="76">
                  <c:v>36647.0</c:v>
                </c:pt>
                <c:pt idx="77">
                  <c:v>36678.0</c:v>
                </c:pt>
                <c:pt idx="78">
                  <c:v>36708.0</c:v>
                </c:pt>
                <c:pt idx="79">
                  <c:v>36739.0</c:v>
                </c:pt>
                <c:pt idx="80">
                  <c:v>36770.0</c:v>
                </c:pt>
                <c:pt idx="81">
                  <c:v>36800.0</c:v>
                </c:pt>
                <c:pt idx="82">
                  <c:v>36831.0</c:v>
                </c:pt>
                <c:pt idx="83">
                  <c:v>36861.0</c:v>
                </c:pt>
                <c:pt idx="84">
                  <c:v>36892.0</c:v>
                </c:pt>
                <c:pt idx="85">
                  <c:v>36923.0</c:v>
                </c:pt>
                <c:pt idx="86">
                  <c:v>36951.0</c:v>
                </c:pt>
                <c:pt idx="87">
                  <c:v>36982.0</c:v>
                </c:pt>
                <c:pt idx="88">
                  <c:v>37012.0</c:v>
                </c:pt>
                <c:pt idx="89">
                  <c:v>37043.0</c:v>
                </c:pt>
              </c:numCache>
            </c:numRef>
          </c:cat>
          <c:val>
            <c:numRef>
              <c:f>'Exp Data'!$C$6:$C$94</c:f>
              <c:numCache>
                <c:formatCode>General_)</c:formatCode>
                <c:ptCount val="89"/>
                <c:pt idx="1">
                  <c:v>304412.0</c:v>
                </c:pt>
                <c:pt idx="4">
                  <c:v>251764.0</c:v>
                </c:pt>
                <c:pt idx="7">
                  <c:v>380415.0</c:v>
                </c:pt>
                <c:pt idx="10" formatCode="&quot;$&quot;#,##0_);[Red]\(&quot;$&quot;#,##0\)">
                  <c:v>347975.0</c:v>
                </c:pt>
                <c:pt idx="13" formatCode="&quot;$&quot;#,##0_);[Red]\(&quot;$&quot;#,##0\)">
                  <c:v>281970.0</c:v>
                </c:pt>
                <c:pt idx="16" formatCode="&quot;$&quot;#,##0_);[Red]\(&quot;$&quot;#,##0\)">
                  <c:v>260040.0</c:v>
                </c:pt>
                <c:pt idx="19" formatCode="&quot;$&quot;#,##0_);[Red]\(&quot;$&quot;#,##0\)">
                  <c:v>283120.0</c:v>
                </c:pt>
                <c:pt idx="22" formatCode="&quot;$&quot;#,##0_);[Red]\(&quot;$&quot;#,##0\)">
                  <c:v>261303.0</c:v>
                </c:pt>
                <c:pt idx="25" formatCode="&quot;$&quot;#,##0_);[Red]\(&quot;$&quot;#,##0\)">
                  <c:v>218341.0</c:v>
                </c:pt>
                <c:pt idx="28" formatCode="&quot;$&quot;#,##0_);[Red]\(&quot;$&quot;#,##0\)">
                  <c:v>304058.0</c:v>
                </c:pt>
                <c:pt idx="31" formatCode="&quot;$&quot;#,##0_);[Red]\(&quot;$&quot;#,##0\)">
                  <c:v>298242.0</c:v>
                </c:pt>
                <c:pt idx="34" formatCode="&quot;$&quot;#,##0_);[Red]\(&quot;$&quot;#,##0\)">
                  <c:v>361453.0</c:v>
                </c:pt>
                <c:pt idx="37" formatCode="&quot;$&quot;#,##0_);[Red]\(&quot;$&quot;#,##0\)">
                  <c:v>370308.0</c:v>
                </c:pt>
                <c:pt idx="40" formatCode="&quot;$&quot;#,##0_);[Red]\(&quot;$&quot;#,##0\)">
                  <c:v>451161.0</c:v>
                </c:pt>
                <c:pt idx="43" formatCode="&quot;$&quot;#,##0_);[Red]\(&quot;$&quot;#,##0\)">
                  <c:v>240498.0</c:v>
                </c:pt>
                <c:pt idx="46" formatCode="&quot;$&quot;#,##0_);[Red]\(&quot;$&quot;#,##0\)">
                  <c:v>322344.0</c:v>
                </c:pt>
                <c:pt idx="49">
                  <c:v>357281.0</c:v>
                </c:pt>
                <c:pt idx="52">
                  <c:v>431523.0</c:v>
                </c:pt>
                <c:pt idx="55">
                  <c:v>230626.0</c:v>
                </c:pt>
                <c:pt idx="58" formatCode="&quot;$&quot;#,##0_);[Red]\(&quot;$&quot;#,##0\)">
                  <c:v>312226.0</c:v>
                </c:pt>
                <c:pt idx="61" formatCode="&quot;$&quot;#,##0_);[Red]\(&quot;$&quot;#,##0\)">
                  <c:v>283342.0</c:v>
                </c:pt>
                <c:pt idx="64" formatCode="&quot;$&quot;#,##0_);[Red]\(&quot;$&quot;#,##0\)">
                  <c:v>336297.0</c:v>
                </c:pt>
                <c:pt idx="67" formatCode="&quot;$&quot;#,##0_);[Red]\(&quot;$&quot;#,##0\)">
                  <c:v>346355.0</c:v>
                </c:pt>
                <c:pt idx="70" formatCode="&quot;$&quot;#,##0_);[Red]\(&quot;$&quot;#,##0\)">
                  <c:v>212558.0</c:v>
                </c:pt>
                <c:pt idx="73" formatCode="&quot;$&quot;#,##0_);[Red]\(&quot;$&quot;#,##0\)">
                  <c:v>235984.0</c:v>
                </c:pt>
                <c:pt idx="76" formatCode="&quot;$&quot;#,##0_);[Red]\(&quot;$&quot;#,##0\)">
                  <c:v>316362.0</c:v>
                </c:pt>
                <c:pt idx="79" formatCode="&quot;$&quot;#,##0_);[Red]\(&quot;$&quot;#,##0\)">
                  <c:v>252228.0</c:v>
                </c:pt>
                <c:pt idx="82" formatCode="&quot;$&quot;#,##0_);[Red]\(&quot;$&quot;#,##0\)">
                  <c:v>223756.0</c:v>
                </c:pt>
                <c:pt idx="85" formatCode="&quot;$&quot;#,##0_);[Red]\(&quot;$&quot;#,##0\)">
                  <c:v>380094.0</c:v>
                </c:pt>
                <c:pt idx="88" formatCode="&quot;$&quot;#,##0_);[Red]\(&quot;$&quot;#,##0\)">
                  <c:v>567640.0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59300088"/>
        <c:axId val="-2059297096"/>
      </c:lineChart>
      <c:catAx>
        <c:axId val="-20593092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25400">
            <a:solidFill>
              <a:srgbClr val="FFFFFF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93035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59303576"/>
        <c:scaling>
          <c:orientation val="minMax"/>
          <c:max val="200000.0"/>
        </c:scaling>
        <c:delete val="0"/>
        <c:axPos val="l"/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9309240"/>
        <c:crosses val="autoZero"/>
        <c:crossBetween val="between"/>
      </c:valAx>
      <c:catAx>
        <c:axId val="-20593000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-2059297096"/>
        <c:crosses val="autoZero"/>
        <c:auto val="0"/>
        <c:lblAlgn val="ctr"/>
        <c:lblOffset val="100"/>
        <c:noMultiLvlLbl val="0"/>
      </c:catAx>
      <c:valAx>
        <c:axId val="-2059297096"/>
        <c:scaling>
          <c:orientation val="minMax"/>
        </c:scaling>
        <c:delete val="0"/>
        <c:axPos val="r"/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9300088"/>
        <c:crosses val="max"/>
        <c:crossBetween val="between"/>
      </c:valAx>
      <c:spPr>
        <a:gradFill rotWithShape="0">
          <a:gsLst>
            <a:gs pos="0">
              <a:srgbClr val="000000"/>
            </a:gs>
            <a:gs pos="39999">
              <a:srgbClr val="0A128C"/>
            </a:gs>
            <a:gs pos="70000">
              <a:srgbClr val="181CC7"/>
            </a:gs>
            <a:gs pos="88000">
              <a:srgbClr val="7005D4"/>
            </a:gs>
            <a:gs pos="100000">
              <a:srgbClr val="8C3D91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7777777777778"/>
          <c:y val="0.455337690631808"/>
          <c:w val="0.136296296296296"/>
          <c:h val="0.08714596949891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France &amp; Express Profit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Trailing 12 Months</a:t>
            </a:r>
          </a:p>
        </c:rich>
      </c:tx>
      <c:layout>
        <c:manualLayout>
          <c:xMode val="edge"/>
          <c:yMode val="edge"/>
          <c:x val="0.34518518518518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2962962963"/>
          <c:y val="0.176470588235294"/>
          <c:w val="0.788148148148148"/>
          <c:h val="0.79520697167756"/>
        </c:manualLayout>
      </c:layout>
      <c:lineChart>
        <c:grouping val="standard"/>
        <c:varyColors val="0"/>
        <c:ser>
          <c:idx val="1"/>
          <c:order val="0"/>
          <c:tx>
            <c:v>Marseille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'Exp Data'!$A$16:$A$101</c:f>
              <c:numCache>
                <c:formatCode>mmm\-yy</c:formatCode>
                <c:ptCount val="86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  <c:pt idx="79">
                  <c:v>37073.0</c:v>
                </c:pt>
                <c:pt idx="80">
                  <c:v>37104.0</c:v>
                </c:pt>
                <c:pt idx="81">
                  <c:v>37135.0</c:v>
                </c:pt>
                <c:pt idx="82">
                  <c:v>37165.0</c:v>
                </c:pt>
                <c:pt idx="83">
                  <c:v>37196.0</c:v>
                </c:pt>
                <c:pt idx="84">
                  <c:v>37226.0</c:v>
                </c:pt>
                <c:pt idx="85">
                  <c:v>37257.0</c:v>
                </c:pt>
              </c:numCache>
            </c:numRef>
          </c:cat>
          <c:val>
            <c:numRef>
              <c:f>'CAEE Data'!$AB$16:$AB$101</c:f>
              <c:numCache>
                <c:formatCode>"$"#,##0_);[Red]\("$"#,##0\)</c:formatCode>
                <c:ptCount val="86"/>
                <c:pt idx="0">
                  <c:v>-126037.0</c:v>
                </c:pt>
                <c:pt idx="1">
                  <c:v>-96972.0</c:v>
                </c:pt>
                <c:pt idx="2">
                  <c:v>-164351.0</c:v>
                </c:pt>
                <c:pt idx="3">
                  <c:v>-111962.0</c:v>
                </c:pt>
                <c:pt idx="4">
                  <c:v>-55945.0</c:v>
                </c:pt>
                <c:pt idx="5">
                  <c:v>-58551.0</c:v>
                </c:pt>
                <c:pt idx="6">
                  <c:v>-53578.0</c:v>
                </c:pt>
                <c:pt idx="7">
                  <c:v>-63161.0</c:v>
                </c:pt>
                <c:pt idx="8">
                  <c:v>-26084.0</c:v>
                </c:pt>
                <c:pt idx="9">
                  <c:v>-125328.0</c:v>
                </c:pt>
                <c:pt idx="10">
                  <c:v>-140260.0</c:v>
                </c:pt>
                <c:pt idx="11">
                  <c:v>-182374.0</c:v>
                </c:pt>
                <c:pt idx="12">
                  <c:v>-108030.0</c:v>
                </c:pt>
                <c:pt idx="13">
                  <c:v>-118522.0</c:v>
                </c:pt>
                <c:pt idx="14">
                  <c:v>-90935.0</c:v>
                </c:pt>
                <c:pt idx="15">
                  <c:v>-89272.0</c:v>
                </c:pt>
                <c:pt idx="16">
                  <c:v>-76661.0</c:v>
                </c:pt>
                <c:pt idx="17">
                  <c:v>-34706.0</c:v>
                </c:pt>
                <c:pt idx="18">
                  <c:v>-30182.0</c:v>
                </c:pt>
                <c:pt idx="19">
                  <c:v>-21382.0</c:v>
                </c:pt>
                <c:pt idx="20">
                  <c:v>-58093.0</c:v>
                </c:pt>
                <c:pt idx="21">
                  <c:v>16241.0</c:v>
                </c:pt>
                <c:pt idx="22">
                  <c:v>-3938.0</c:v>
                </c:pt>
                <c:pt idx="23">
                  <c:v>-41340.0</c:v>
                </c:pt>
                <c:pt idx="24">
                  <c:v>306.0</c:v>
                </c:pt>
                <c:pt idx="25">
                  <c:v>8621.0</c:v>
                </c:pt>
                <c:pt idx="26">
                  <c:v>15268.0</c:v>
                </c:pt>
                <c:pt idx="27">
                  <c:v>37352.0</c:v>
                </c:pt>
                <c:pt idx="28">
                  <c:v>41950.0</c:v>
                </c:pt>
                <c:pt idx="29">
                  <c:v>4782.0</c:v>
                </c:pt>
                <c:pt idx="30">
                  <c:v>13894.0</c:v>
                </c:pt>
                <c:pt idx="31">
                  <c:v>7812.0</c:v>
                </c:pt>
                <c:pt idx="32">
                  <c:v>83525.0</c:v>
                </c:pt>
                <c:pt idx="33">
                  <c:v>96535.0</c:v>
                </c:pt>
                <c:pt idx="34">
                  <c:v>125548.0</c:v>
                </c:pt>
                <c:pt idx="35">
                  <c:v>162034.0</c:v>
                </c:pt>
                <c:pt idx="36">
                  <c:v>120553.0</c:v>
                </c:pt>
                <c:pt idx="37">
                  <c:v>105052.0</c:v>
                </c:pt>
                <c:pt idx="38">
                  <c:v>124396.0</c:v>
                </c:pt>
                <c:pt idx="39">
                  <c:v>81100.0</c:v>
                </c:pt>
                <c:pt idx="40">
                  <c:v>54578.0</c:v>
                </c:pt>
                <c:pt idx="41">
                  <c:v>92400.0</c:v>
                </c:pt>
                <c:pt idx="42">
                  <c:v>55009.0</c:v>
                </c:pt>
                <c:pt idx="43">
                  <c:v>30127.0</c:v>
                </c:pt>
                <c:pt idx="44">
                  <c:v>-28892.0</c:v>
                </c:pt>
                <c:pt idx="45">
                  <c:v>-59706.0</c:v>
                </c:pt>
                <c:pt idx="46">
                  <c:v>-60010.0</c:v>
                </c:pt>
                <c:pt idx="47">
                  <c:v>-41971.0</c:v>
                </c:pt>
                <c:pt idx="48">
                  <c:v>-95000.0</c:v>
                </c:pt>
                <c:pt idx="49">
                  <c:v>-70892.0</c:v>
                </c:pt>
                <c:pt idx="50">
                  <c:v>-98754.0</c:v>
                </c:pt>
                <c:pt idx="51">
                  <c:v>-83321.0</c:v>
                </c:pt>
                <c:pt idx="52">
                  <c:v>-63851.0</c:v>
                </c:pt>
                <c:pt idx="53">
                  <c:v>-93523.0</c:v>
                </c:pt>
                <c:pt idx="54">
                  <c:v>-26916.0</c:v>
                </c:pt>
                <c:pt idx="55">
                  <c:v>-22409.0</c:v>
                </c:pt>
                <c:pt idx="56">
                  <c:v>-11326.0</c:v>
                </c:pt>
                <c:pt idx="57">
                  <c:v>-21883.0</c:v>
                </c:pt>
                <c:pt idx="58">
                  <c:v>23158.0</c:v>
                </c:pt>
                <c:pt idx="59">
                  <c:v>-6500.0</c:v>
                </c:pt>
                <c:pt idx="60">
                  <c:v>12109.0</c:v>
                </c:pt>
                <c:pt idx="61">
                  <c:v>29930.0</c:v>
                </c:pt>
                <c:pt idx="62">
                  <c:v>46658.0</c:v>
                </c:pt>
                <c:pt idx="63">
                  <c:v>20800.0</c:v>
                </c:pt>
                <c:pt idx="64">
                  <c:v>-7095.0</c:v>
                </c:pt>
                <c:pt idx="65">
                  <c:v>-14172.0</c:v>
                </c:pt>
                <c:pt idx="66">
                  <c:v>-46183.0</c:v>
                </c:pt>
                <c:pt idx="67">
                  <c:v>-11646.0</c:v>
                </c:pt>
                <c:pt idx="68">
                  <c:v>-18629.0</c:v>
                </c:pt>
                <c:pt idx="69">
                  <c:v>-48770.0</c:v>
                </c:pt>
                <c:pt idx="70">
                  <c:v>-32820.0</c:v>
                </c:pt>
                <c:pt idx="71">
                  <c:v>40869.0</c:v>
                </c:pt>
                <c:pt idx="72">
                  <c:v>1842.0</c:v>
                </c:pt>
                <c:pt idx="73">
                  <c:v>-32846.0</c:v>
                </c:pt>
                <c:pt idx="74">
                  <c:v>-32349.0</c:v>
                </c:pt>
                <c:pt idx="75">
                  <c:v>-20580.0</c:v>
                </c:pt>
                <c:pt idx="76">
                  <c:v>5091.0</c:v>
                </c:pt>
                <c:pt idx="77">
                  <c:v>47264.0</c:v>
                </c:pt>
                <c:pt idx="78">
                  <c:v>20136.0</c:v>
                </c:pt>
                <c:pt idx="79">
                  <c:v>51977.0</c:v>
                </c:pt>
                <c:pt idx="80">
                  <c:v>41272.0</c:v>
                </c:pt>
                <c:pt idx="81">
                  <c:v>125497.0</c:v>
                </c:pt>
                <c:pt idx="82">
                  <c:v>117952.0</c:v>
                </c:pt>
                <c:pt idx="83">
                  <c:v>156346.0</c:v>
                </c:pt>
                <c:pt idx="84">
                  <c:v>123054.42</c:v>
                </c:pt>
                <c:pt idx="85">
                  <c:v>153480.42</c:v>
                </c:pt>
              </c:numCache>
            </c:numRef>
          </c:val>
          <c:smooth val="0"/>
        </c:ser>
        <c:ser>
          <c:idx val="0"/>
          <c:order val="1"/>
          <c:tx>
            <c:v>Express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'Exp Data'!$A$16:$A$101</c:f>
              <c:numCache>
                <c:formatCode>mmm\-yy</c:formatCode>
                <c:ptCount val="86"/>
                <c:pt idx="0">
                  <c:v>34668.0</c:v>
                </c:pt>
                <c:pt idx="1">
                  <c:v>34699.0</c:v>
                </c:pt>
                <c:pt idx="2">
                  <c:v>34730.0</c:v>
                </c:pt>
                <c:pt idx="3">
                  <c:v>34758.0</c:v>
                </c:pt>
                <c:pt idx="4">
                  <c:v>34789.0</c:v>
                </c:pt>
                <c:pt idx="5">
                  <c:v>34819.0</c:v>
                </c:pt>
                <c:pt idx="6">
                  <c:v>34850.0</c:v>
                </c:pt>
                <c:pt idx="7">
                  <c:v>34880.0</c:v>
                </c:pt>
                <c:pt idx="8">
                  <c:v>34911.0</c:v>
                </c:pt>
                <c:pt idx="9">
                  <c:v>34942.0</c:v>
                </c:pt>
                <c:pt idx="10">
                  <c:v>34972.0</c:v>
                </c:pt>
                <c:pt idx="11">
                  <c:v>35003.0</c:v>
                </c:pt>
                <c:pt idx="12">
                  <c:v>35033.0</c:v>
                </c:pt>
                <c:pt idx="13">
                  <c:v>35064.0</c:v>
                </c:pt>
                <c:pt idx="14">
                  <c:v>35095.0</c:v>
                </c:pt>
                <c:pt idx="15">
                  <c:v>35124.0</c:v>
                </c:pt>
                <c:pt idx="16">
                  <c:v>35155.0</c:v>
                </c:pt>
                <c:pt idx="17">
                  <c:v>35185.0</c:v>
                </c:pt>
                <c:pt idx="18">
                  <c:v>35216.0</c:v>
                </c:pt>
                <c:pt idx="19">
                  <c:v>35246.0</c:v>
                </c:pt>
                <c:pt idx="20">
                  <c:v>35277.0</c:v>
                </c:pt>
                <c:pt idx="21">
                  <c:v>35308.0</c:v>
                </c:pt>
                <c:pt idx="22">
                  <c:v>35338.0</c:v>
                </c:pt>
                <c:pt idx="23">
                  <c:v>35369.0</c:v>
                </c:pt>
                <c:pt idx="24">
                  <c:v>35399.0</c:v>
                </c:pt>
                <c:pt idx="25">
                  <c:v>35430.0</c:v>
                </c:pt>
                <c:pt idx="26">
                  <c:v>35461.0</c:v>
                </c:pt>
                <c:pt idx="27">
                  <c:v>35489.0</c:v>
                </c:pt>
                <c:pt idx="28">
                  <c:v>35520.0</c:v>
                </c:pt>
                <c:pt idx="29">
                  <c:v>35550.0</c:v>
                </c:pt>
                <c:pt idx="30">
                  <c:v>35581.0</c:v>
                </c:pt>
                <c:pt idx="31">
                  <c:v>35611.0</c:v>
                </c:pt>
                <c:pt idx="32">
                  <c:v>35642.0</c:v>
                </c:pt>
                <c:pt idx="33">
                  <c:v>35673.0</c:v>
                </c:pt>
                <c:pt idx="34">
                  <c:v>35703.0</c:v>
                </c:pt>
                <c:pt idx="35">
                  <c:v>35734.0</c:v>
                </c:pt>
                <c:pt idx="36">
                  <c:v>35764.0</c:v>
                </c:pt>
                <c:pt idx="37">
                  <c:v>35796.0</c:v>
                </c:pt>
                <c:pt idx="38">
                  <c:v>35827.0</c:v>
                </c:pt>
                <c:pt idx="39">
                  <c:v>35855.0</c:v>
                </c:pt>
                <c:pt idx="40">
                  <c:v>35886.0</c:v>
                </c:pt>
                <c:pt idx="41">
                  <c:v>35916.0</c:v>
                </c:pt>
                <c:pt idx="42">
                  <c:v>35947.0</c:v>
                </c:pt>
                <c:pt idx="43">
                  <c:v>35977.0</c:v>
                </c:pt>
                <c:pt idx="44">
                  <c:v>36008.0</c:v>
                </c:pt>
                <c:pt idx="45">
                  <c:v>36039.0</c:v>
                </c:pt>
                <c:pt idx="46">
                  <c:v>36069.0</c:v>
                </c:pt>
                <c:pt idx="47">
                  <c:v>36100.0</c:v>
                </c:pt>
                <c:pt idx="48">
                  <c:v>36130.0</c:v>
                </c:pt>
                <c:pt idx="49">
                  <c:v>36161.0</c:v>
                </c:pt>
                <c:pt idx="50">
                  <c:v>36192.0</c:v>
                </c:pt>
                <c:pt idx="51">
                  <c:v>36220.0</c:v>
                </c:pt>
                <c:pt idx="52">
                  <c:v>36251.0</c:v>
                </c:pt>
                <c:pt idx="53">
                  <c:v>36281.0</c:v>
                </c:pt>
                <c:pt idx="54">
                  <c:v>36312.0</c:v>
                </c:pt>
                <c:pt idx="55">
                  <c:v>36342.0</c:v>
                </c:pt>
                <c:pt idx="56">
                  <c:v>36373.0</c:v>
                </c:pt>
                <c:pt idx="57">
                  <c:v>36404.0</c:v>
                </c:pt>
                <c:pt idx="58">
                  <c:v>36434.0</c:v>
                </c:pt>
                <c:pt idx="59">
                  <c:v>36465.0</c:v>
                </c:pt>
                <c:pt idx="60">
                  <c:v>36495.0</c:v>
                </c:pt>
                <c:pt idx="61">
                  <c:v>36526.0</c:v>
                </c:pt>
                <c:pt idx="62">
                  <c:v>36557.0</c:v>
                </c:pt>
                <c:pt idx="63">
                  <c:v>36586.0</c:v>
                </c:pt>
                <c:pt idx="64">
                  <c:v>36617.0</c:v>
                </c:pt>
                <c:pt idx="65">
                  <c:v>36647.0</c:v>
                </c:pt>
                <c:pt idx="66">
                  <c:v>36678.0</c:v>
                </c:pt>
                <c:pt idx="67">
                  <c:v>36708.0</c:v>
                </c:pt>
                <c:pt idx="68">
                  <c:v>36739.0</c:v>
                </c:pt>
                <c:pt idx="69">
                  <c:v>36770.0</c:v>
                </c:pt>
                <c:pt idx="70">
                  <c:v>36800.0</c:v>
                </c:pt>
                <c:pt idx="71">
                  <c:v>36831.0</c:v>
                </c:pt>
                <c:pt idx="72">
                  <c:v>36861.0</c:v>
                </c:pt>
                <c:pt idx="73">
                  <c:v>36892.0</c:v>
                </c:pt>
                <c:pt idx="74">
                  <c:v>36923.0</c:v>
                </c:pt>
                <c:pt idx="75">
                  <c:v>36951.0</c:v>
                </c:pt>
                <c:pt idx="76">
                  <c:v>36982.0</c:v>
                </c:pt>
                <c:pt idx="77">
                  <c:v>37012.0</c:v>
                </c:pt>
                <c:pt idx="78">
                  <c:v>37043.0</c:v>
                </c:pt>
                <c:pt idx="79">
                  <c:v>37073.0</c:v>
                </c:pt>
                <c:pt idx="80">
                  <c:v>37104.0</c:v>
                </c:pt>
                <c:pt idx="81">
                  <c:v>37135.0</c:v>
                </c:pt>
                <c:pt idx="82">
                  <c:v>37165.0</c:v>
                </c:pt>
                <c:pt idx="83">
                  <c:v>37196.0</c:v>
                </c:pt>
                <c:pt idx="84">
                  <c:v>37226.0</c:v>
                </c:pt>
                <c:pt idx="85">
                  <c:v>37257.0</c:v>
                </c:pt>
              </c:numCache>
            </c:numRef>
          </c:cat>
          <c:val>
            <c:numRef>
              <c:f>'Exp Data'!$G$16:$G$101</c:f>
              <c:numCache>
                <c:formatCode>"$"#,##0_);[Red]\("$"#,##0\)</c:formatCode>
                <c:ptCount val="86"/>
                <c:pt idx="0">
                  <c:v>-37818.0</c:v>
                </c:pt>
                <c:pt idx="1">
                  <c:v>-3182.0</c:v>
                </c:pt>
                <c:pt idx="2">
                  <c:v>-13280.0</c:v>
                </c:pt>
                <c:pt idx="3">
                  <c:v>13258.0</c:v>
                </c:pt>
                <c:pt idx="4">
                  <c:v>30752.0</c:v>
                </c:pt>
                <c:pt idx="5">
                  <c:v>70183.0</c:v>
                </c:pt>
                <c:pt idx="6">
                  <c:v>92655.0</c:v>
                </c:pt>
                <c:pt idx="7">
                  <c:v>6068.0</c:v>
                </c:pt>
                <c:pt idx="8">
                  <c:v>34070.0</c:v>
                </c:pt>
                <c:pt idx="9">
                  <c:v>77868.0</c:v>
                </c:pt>
                <c:pt idx="10">
                  <c:v>50870.0</c:v>
                </c:pt>
                <c:pt idx="11">
                  <c:v>97642.0</c:v>
                </c:pt>
                <c:pt idx="12">
                  <c:v>102772.0</c:v>
                </c:pt>
                <c:pt idx="13">
                  <c:v>94783.0</c:v>
                </c:pt>
                <c:pt idx="14">
                  <c:v>94727.0</c:v>
                </c:pt>
                <c:pt idx="15">
                  <c:v>87032.0</c:v>
                </c:pt>
                <c:pt idx="16">
                  <c:v>90611.0</c:v>
                </c:pt>
                <c:pt idx="17">
                  <c:v>120252.0</c:v>
                </c:pt>
                <c:pt idx="18">
                  <c:v>133883.0</c:v>
                </c:pt>
                <c:pt idx="19">
                  <c:v>157411.0</c:v>
                </c:pt>
                <c:pt idx="20">
                  <c:v>148032.0</c:v>
                </c:pt>
                <c:pt idx="21">
                  <c:v>147489.0</c:v>
                </c:pt>
                <c:pt idx="22">
                  <c:v>183800.0</c:v>
                </c:pt>
                <c:pt idx="23">
                  <c:v>190047.0</c:v>
                </c:pt>
                <c:pt idx="24">
                  <c:v>180605.0</c:v>
                </c:pt>
                <c:pt idx="25">
                  <c:v>201686.0</c:v>
                </c:pt>
                <c:pt idx="26">
                  <c:v>229606.0</c:v>
                </c:pt>
                <c:pt idx="27">
                  <c:v>280987.0</c:v>
                </c:pt>
                <c:pt idx="28">
                  <c:v>294648.0</c:v>
                </c:pt>
                <c:pt idx="29">
                  <c:v>297923.0</c:v>
                </c:pt>
                <c:pt idx="30">
                  <c:v>309761.0</c:v>
                </c:pt>
                <c:pt idx="31">
                  <c:v>304444.0</c:v>
                </c:pt>
                <c:pt idx="32">
                  <c:v>299981.0</c:v>
                </c:pt>
                <c:pt idx="33">
                  <c:v>253379.0</c:v>
                </c:pt>
                <c:pt idx="34">
                  <c:v>252478.0</c:v>
                </c:pt>
                <c:pt idx="35">
                  <c:v>243483.0</c:v>
                </c:pt>
                <c:pt idx="36">
                  <c:v>232072.0</c:v>
                </c:pt>
                <c:pt idx="37">
                  <c:v>234585.0</c:v>
                </c:pt>
                <c:pt idx="38">
                  <c:v>208097.0</c:v>
                </c:pt>
                <c:pt idx="39">
                  <c:v>191832.0</c:v>
                </c:pt>
                <c:pt idx="40">
                  <c:v>184036.0</c:v>
                </c:pt>
                <c:pt idx="41">
                  <c:v>175722.0</c:v>
                </c:pt>
                <c:pt idx="42">
                  <c:v>157080.0</c:v>
                </c:pt>
                <c:pt idx="43">
                  <c:v>166863.0</c:v>
                </c:pt>
                <c:pt idx="44">
                  <c:v>148838.0</c:v>
                </c:pt>
                <c:pt idx="45">
                  <c:v>147564.0</c:v>
                </c:pt>
                <c:pt idx="46">
                  <c:v>129072.0</c:v>
                </c:pt>
                <c:pt idx="47">
                  <c:v>128315.0</c:v>
                </c:pt>
                <c:pt idx="48">
                  <c:v>130932.0</c:v>
                </c:pt>
                <c:pt idx="49">
                  <c:v>100641.0</c:v>
                </c:pt>
                <c:pt idx="50">
                  <c:v>79311.0</c:v>
                </c:pt>
                <c:pt idx="51">
                  <c:v>96538.0</c:v>
                </c:pt>
                <c:pt idx="52">
                  <c:v>85978.0</c:v>
                </c:pt>
                <c:pt idx="53">
                  <c:v>67469.0</c:v>
                </c:pt>
                <c:pt idx="54">
                  <c:v>69325.0</c:v>
                </c:pt>
                <c:pt idx="55">
                  <c:v>60340.0</c:v>
                </c:pt>
                <c:pt idx="56">
                  <c:v>65344.0</c:v>
                </c:pt>
                <c:pt idx="57">
                  <c:v>134304.0</c:v>
                </c:pt>
                <c:pt idx="58">
                  <c:v>116919.0</c:v>
                </c:pt>
                <c:pt idx="59">
                  <c:v>93912.0</c:v>
                </c:pt>
                <c:pt idx="60">
                  <c:v>78402.0</c:v>
                </c:pt>
                <c:pt idx="61">
                  <c:v>165987.0</c:v>
                </c:pt>
                <c:pt idx="62">
                  <c:v>182156.0</c:v>
                </c:pt>
                <c:pt idx="63">
                  <c:v>135550.0</c:v>
                </c:pt>
                <c:pt idx="64">
                  <c:v>147150.0</c:v>
                </c:pt>
                <c:pt idx="65">
                  <c:v>147331.0</c:v>
                </c:pt>
                <c:pt idx="66">
                  <c:v>140356.0</c:v>
                </c:pt>
                <c:pt idx="67">
                  <c:v>122982.0</c:v>
                </c:pt>
                <c:pt idx="68">
                  <c:v>120989.0</c:v>
                </c:pt>
                <c:pt idx="69">
                  <c:v>71761.0</c:v>
                </c:pt>
                <c:pt idx="70">
                  <c:v>66005.0</c:v>
                </c:pt>
                <c:pt idx="71">
                  <c:v>55082.0</c:v>
                </c:pt>
                <c:pt idx="72">
                  <c:v>75506.0</c:v>
                </c:pt>
                <c:pt idx="73">
                  <c:v>3884.0</c:v>
                </c:pt>
                <c:pt idx="74">
                  <c:v>7291.0</c:v>
                </c:pt>
                <c:pt idx="75">
                  <c:v>28856.0</c:v>
                </c:pt>
                <c:pt idx="76">
                  <c:v>51663.0</c:v>
                </c:pt>
                <c:pt idx="77">
                  <c:v>107534.0</c:v>
                </c:pt>
                <c:pt idx="78">
                  <c:v>141265.0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624888"/>
        <c:axId val="-2048619256"/>
      </c:lineChart>
      <c:dateAx>
        <c:axId val="-2048624888"/>
        <c:scaling>
          <c:orientation val="minMax"/>
          <c:max val="38838.0"/>
          <c:min val="36130.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619256"/>
        <c:crosses val="autoZero"/>
        <c:auto val="1"/>
        <c:lblOffset val="100"/>
        <c:baseTimeUnit val="months"/>
        <c:majorUnit val="12.0"/>
        <c:majorTimeUnit val="months"/>
        <c:minorUnit val="6.0"/>
        <c:minorTimeUnit val="months"/>
      </c:dateAx>
      <c:valAx>
        <c:axId val="-2048619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624888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5E765E" mc:Ignorable="a14" a14:legacySpreadsheetColorIndex="42">
                <a:gamma/>
                <a:shade val="46275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259259259259"/>
          <c:y val="0.213507625272331"/>
          <c:w val="0.121481481481481"/>
          <c:h val="0.0849673202614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CleanAir Stock Price per Share</a:t>
            </a:r>
          </a:p>
        </c:rich>
      </c:tx>
      <c:layout>
        <c:manualLayout>
          <c:xMode val="edge"/>
          <c:yMode val="edge"/>
          <c:x val="0.299259259259259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296296296296"/>
          <c:y val="0.174291938997821"/>
          <c:w val="0.751111111111111"/>
          <c:h val="0.71895424836601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CF305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elete val="1"/>
            </c:dLbl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txPr>
              <a:bodyPr rot="-1800000" lIns="2" anchor="t" anchorCtr="0">
                <a:spAutoFit/>
              </a:bodyPr>
              <a:lstStyle/>
              <a:p>
                <a:pPr>
                  <a:defRPr sz="7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'Stock price'!$A$2:$A$36</c:f>
              <c:numCache>
                <c:formatCode>mmm\-yy</c:formatCode>
                <c:ptCount val="35"/>
                <c:pt idx="0">
                  <c:v>35095.0</c:v>
                </c:pt>
                <c:pt idx="1">
                  <c:v>35216.0</c:v>
                </c:pt>
                <c:pt idx="2">
                  <c:v>35338.0</c:v>
                </c:pt>
                <c:pt idx="3">
                  <c:v>35488.0</c:v>
                </c:pt>
                <c:pt idx="4">
                  <c:v>35581.0</c:v>
                </c:pt>
                <c:pt idx="5">
                  <c:v>35732.0</c:v>
                </c:pt>
                <c:pt idx="6">
                  <c:v>35826.0</c:v>
                </c:pt>
                <c:pt idx="7">
                  <c:v>35975.0</c:v>
                </c:pt>
                <c:pt idx="8">
                  <c:v>36100.0</c:v>
                </c:pt>
                <c:pt idx="9">
                  <c:v>36193.0</c:v>
                </c:pt>
                <c:pt idx="10">
                  <c:v>36313.0</c:v>
                </c:pt>
                <c:pt idx="11">
                  <c:v>36435.0</c:v>
                </c:pt>
                <c:pt idx="12">
                  <c:v>36558.0</c:v>
                </c:pt>
                <c:pt idx="13">
                  <c:v>36679.0</c:v>
                </c:pt>
                <c:pt idx="14">
                  <c:v>36801.0</c:v>
                </c:pt>
                <c:pt idx="15">
                  <c:v>36924.0</c:v>
                </c:pt>
                <c:pt idx="16">
                  <c:v>37044.0</c:v>
                </c:pt>
                <c:pt idx="17">
                  <c:v>37166.0</c:v>
                </c:pt>
                <c:pt idx="18">
                  <c:v>37289.0</c:v>
                </c:pt>
                <c:pt idx="19">
                  <c:v>37409.0</c:v>
                </c:pt>
                <c:pt idx="20">
                  <c:v>37531.0</c:v>
                </c:pt>
                <c:pt idx="21">
                  <c:v>37654.0</c:v>
                </c:pt>
                <c:pt idx="22">
                  <c:v>37774.0</c:v>
                </c:pt>
                <c:pt idx="23">
                  <c:v>37896.0</c:v>
                </c:pt>
                <c:pt idx="24">
                  <c:v>38019.0</c:v>
                </c:pt>
                <c:pt idx="25">
                  <c:v>38140.0</c:v>
                </c:pt>
                <c:pt idx="26">
                  <c:v>38262.0</c:v>
                </c:pt>
                <c:pt idx="27">
                  <c:v>38385.0</c:v>
                </c:pt>
                <c:pt idx="28">
                  <c:v>38505.0</c:v>
                </c:pt>
                <c:pt idx="29">
                  <c:v>38627.0</c:v>
                </c:pt>
                <c:pt idx="30">
                  <c:v>38750.0</c:v>
                </c:pt>
                <c:pt idx="31">
                  <c:v>38870.0</c:v>
                </c:pt>
                <c:pt idx="32">
                  <c:v>38992.0</c:v>
                </c:pt>
                <c:pt idx="33">
                  <c:v>39115.0</c:v>
                </c:pt>
                <c:pt idx="34">
                  <c:v>39235.0</c:v>
                </c:pt>
              </c:numCache>
            </c:numRef>
          </c:cat>
          <c:val>
            <c:numRef>
              <c:f>'Stock price'!$B$2:$B$36</c:f>
              <c:numCache>
                <c:formatCode>"$"#,##0.00_);[Red]\("$"#,##0.00\)</c:formatCode>
                <c:ptCount val="35"/>
                <c:pt idx="0">
                  <c:v>31.0035203583455</c:v>
                </c:pt>
                <c:pt idx="1">
                  <c:v>44.055048177973</c:v>
                </c:pt>
                <c:pt idx="2">
                  <c:v>54.35</c:v>
                </c:pt>
                <c:pt idx="3">
                  <c:v>44.7009102730819</c:v>
                </c:pt>
                <c:pt idx="4">
                  <c:v>55.81</c:v>
                </c:pt>
                <c:pt idx="5">
                  <c:v>67.92</c:v>
                </c:pt>
                <c:pt idx="6">
                  <c:v>64.95</c:v>
                </c:pt>
                <c:pt idx="7">
                  <c:v>57.34</c:v>
                </c:pt>
                <c:pt idx="8">
                  <c:v>44.04</c:v>
                </c:pt>
                <c:pt idx="9">
                  <c:v>43.86</c:v>
                </c:pt>
                <c:pt idx="10">
                  <c:v>49.67</c:v>
                </c:pt>
                <c:pt idx="11">
                  <c:v>53.39</c:v>
                </c:pt>
                <c:pt idx="12">
                  <c:v>51.49</c:v>
                </c:pt>
                <c:pt idx="13">
                  <c:v>52.38</c:v>
                </c:pt>
                <c:pt idx="14">
                  <c:v>52.3</c:v>
                </c:pt>
                <c:pt idx="15">
                  <c:v>43.75</c:v>
                </c:pt>
                <c:pt idx="16">
                  <c:v>52.92</c:v>
                </c:pt>
                <c:pt idx="17">
                  <c:v>49.52462972177133</c:v>
                </c:pt>
                <c:pt idx="18">
                  <c:v>48.16658808943123</c:v>
                </c:pt>
                <c:pt idx="19">
                  <c:v>49.79385003294103</c:v>
                </c:pt>
                <c:pt idx="20">
                  <c:v>48.56404179371468</c:v>
                </c:pt>
                <c:pt idx="21">
                  <c:v>44.67324385114451</c:v>
                </c:pt>
                <c:pt idx="22">
                  <c:v>70.71</c:v>
                </c:pt>
                <c:pt idx="23">
                  <c:v>101.37</c:v>
                </c:pt>
                <c:pt idx="24">
                  <c:v>129.85</c:v>
                </c:pt>
                <c:pt idx="25">
                  <c:v>168.03</c:v>
                </c:pt>
                <c:pt idx="26">
                  <c:v>209.73</c:v>
                </c:pt>
                <c:pt idx="27">
                  <c:v>184.7</c:v>
                </c:pt>
                <c:pt idx="28">
                  <c:v>124.64</c:v>
                </c:pt>
                <c:pt idx="29">
                  <c:v>79.09</c:v>
                </c:pt>
                <c:pt idx="30">
                  <c:v>71.53</c:v>
                </c:pt>
                <c:pt idx="31">
                  <c:v>82.9</c:v>
                </c:pt>
                <c:pt idx="32">
                  <c:v>98.48</c:v>
                </c:pt>
                <c:pt idx="33">
                  <c:v>137.98</c:v>
                </c:pt>
                <c:pt idx="34">
                  <c:v>133.23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147304"/>
        <c:axId val="-2048162056"/>
      </c:lineChart>
      <c:dateAx>
        <c:axId val="-2048147304"/>
        <c:scaling>
          <c:orientation val="minMax"/>
          <c:max val="40878.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162056"/>
        <c:crosses val="autoZero"/>
        <c:auto val="1"/>
        <c:lblOffset val="100"/>
        <c:baseTimeUnit val="months"/>
        <c:majorUnit val="4.0"/>
        <c:majorTimeUnit val="months"/>
        <c:minorUnit val="2.0"/>
        <c:minorTimeUnit val="months"/>
      </c:dateAx>
      <c:valAx>
        <c:axId val="-2048162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  <a:effectLst>
              <a:glow>
                <a:schemeClr val="accent3">
                  <a:lumMod val="40000"/>
                  <a:lumOff val="60000"/>
                </a:schemeClr>
              </a:glow>
            </a:effectLst>
          </c:spPr>
        </c:majorGridlines>
        <c:numFmt formatCode="&quot;$&quot;#,##0.00_);[Red]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048147304"/>
        <c:crosses val="autoZero"/>
        <c:crossBetween val="midCat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6666" mc:Ignorable="a14" a14:legacySpreadsheetColorIndex="57"/>
            </a:gs>
            <a:gs pos="100000">
              <a:srgbClr xmlns:mc="http://schemas.openxmlformats.org/markup-compatibility/2006" xmlns:a14="http://schemas.microsoft.com/office/drawing/2010/main" val="5A8383" mc:Ignorable="a14" a14:legacySpreadsheetColorIndex="57">
                <a:gamma/>
                <a:tint val="80784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12 Month Profit Compared to Goal of 17.33% of  Sales</a:t>
            </a:r>
          </a:p>
        </c:rich>
      </c:tx>
      <c:layout>
        <c:manualLayout>
          <c:xMode val="edge"/>
          <c:yMode val="edge"/>
          <c:x val="0.234074074074074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62962962963"/>
          <c:y val="0.156862745098039"/>
          <c:w val="0.751111111111111"/>
          <c:h val="0.775599128540305"/>
        </c:manualLayout>
      </c:layout>
      <c:lineChart>
        <c:grouping val="standard"/>
        <c:varyColors val="0"/>
        <c:ser>
          <c:idx val="0"/>
          <c:order val="0"/>
          <c:tx>
            <c:v>12 Month Rolling Profit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'Month S&amp;P'!$A$15:$A$319</c:f>
              <c:strCache>
                <c:ptCount val="300"/>
                <c:pt idx="0">
                  <c:v>Jan-89</c:v>
                </c:pt>
                <c:pt idx="1">
                  <c:v>Feb-89</c:v>
                </c:pt>
                <c:pt idx="2">
                  <c:v>Mar-89</c:v>
                </c:pt>
                <c:pt idx="3">
                  <c:v>Apr-89</c:v>
                </c:pt>
                <c:pt idx="4">
                  <c:v>May-89</c:v>
                </c:pt>
                <c:pt idx="5">
                  <c:v>Jun-89</c:v>
                </c:pt>
                <c:pt idx="6">
                  <c:v>Jul-89</c:v>
                </c:pt>
                <c:pt idx="7">
                  <c:v>Aug-89</c:v>
                </c:pt>
                <c:pt idx="8">
                  <c:v>Sep-89</c:v>
                </c:pt>
                <c:pt idx="9">
                  <c:v>Oct-89</c:v>
                </c:pt>
                <c:pt idx="10">
                  <c:v>Nov-89</c:v>
                </c:pt>
                <c:pt idx="11">
                  <c:v>Dec-89</c:v>
                </c:pt>
                <c:pt idx="12">
                  <c:v>Jan-90</c:v>
                </c:pt>
                <c:pt idx="13">
                  <c:v>Feb-90</c:v>
                </c:pt>
                <c:pt idx="14">
                  <c:v>Mar-90</c:v>
                </c:pt>
                <c:pt idx="15">
                  <c:v>Apr-90</c:v>
                </c:pt>
                <c:pt idx="16">
                  <c:v>May-90</c:v>
                </c:pt>
                <c:pt idx="17">
                  <c:v>Jun-90</c:v>
                </c:pt>
                <c:pt idx="18">
                  <c:v>Jul-90</c:v>
                </c:pt>
                <c:pt idx="19">
                  <c:v>Aug-90</c:v>
                </c:pt>
                <c:pt idx="20">
                  <c:v>Sep-90</c:v>
                </c:pt>
                <c:pt idx="21">
                  <c:v>Oct-90</c:v>
                </c:pt>
                <c:pt idx="22">
                  <c:v>Nov-90</c:v>
                </c:pt>
                <c:pt idx="23">
                  <c:v>Dec-90</c:v>
                </c:pt>
                <c:pt idx="24">
                  <c:v>Jan-91</c:v>
                </c:pt>
                <c:pt idx="25">
                  <c:v>Feb-91</c:v>
                </c:pt>
                <c:pt idx="26">
                  <c:v>Mar-91</c:v>
                </c:pt>
                <c:pt idx="27">
                  <c:v>Apr-91</c:v>
                </c:pt>
                <c:pt idx="28">
                  <c:v>May-91</c:v>
                </c:pt>
                <c:pt idx="29">
                  <c:v>Jun-91</c:v>
                </c:pt>
                <c:pt idx="30">
                  <c:v>Jul-91</c:v>
                </c:pt>
                <c:pt idx="31">
                  <c:v>Aug-91</c:v>
                </c:pt>
                <c:pt idx="32">
                  <c:v>Sep-91</c:v>
                </c:pt>
                <c:pt idx="33">
                  <c:v>Oct-91</c:v>
                </c:pt>
                <c:pt idx="34">
                  <c:v>Nov-91</c:v>
                </c:pt>
                <c:pt idx="35">
                  <c:v>Dec-91</c:v>
                </c:pt>
                <c:pt idx="36">
                  <c:v>Jan-92</c:v>
                </c:pt>
                <c:pt idx="37">
                  <c:v>Feb-92</c:v>
                </c:pt>
                <c:pt idx="38">
                  <c:v>Mar-92</c:v>
                </c:pt>
                <c:pt idx="39">
                  <c:v>Apr-92</c:v>
                </c:pt>
                <c:pt idx="40">
                  <c:v>May-92</c:v>
                </c:pt>
                <c:pt idx="41">
                  <c:v>Jun-92</c:v>
                </c:pt>
                <c:pt idx="42">
                  <c:v>Jul-92</c:v>
                </c:pt>
                <c:pt idx="43">
                  <c:v>Aug-92</c:v>
                </c:pt>
                <c:pt idx="44">
                  <c:v>Sep-92</c:v>
                </c:pt>
                <c:pt idx="45">
                  <c:v>Oct-92</c:v>
                </c:pt>
                <c:pt idx="46">
                  <c:v>Nov-92</c:v>
                </c:pt>
                <c:pt idx="47">
                  <c:v>Dec-92</c:v>
                </c:pt>
                <c:pt idx="48">
                  <c:v>Jan-93</c:v>
                </c:pt>
                <c:pt idx="49">
                  <c:v>Feb-93</c:v>
                </c:pt>
                <c:pt idx="50">
                  <c:v>Mar-93</c:v>
                </c:pt>
                <c:pt idx="51">
                  <c:v>Apr-93</c:v>
                </c:pt>
                <c:pt idx="52">
                  <c:v>May-93</c:v>
                </c:pt>
                <c:pt idx="53">
                  <c:v>Jun-93</c:v>
                </c:pt>
                <c:pt idx="54">
                  <c:v>Jul-93</c:v>
                </c:pt>
                <c:pt idx="55">
                  <c:v>Aug-93</c:v>
                </c:pt>
                <c:pt idx="56">
                  <c:v>Sep-93</c:v>
                </c:pt>
                <c:pt idx="57">
                  <c:v>Oct-93</c:v>
                </c:pt>
                <c:pt idx="58">
                  <c:v>Nov-93</c:v>
                </c:pt>
                <c:pt idx="59">
                  <c:v>Dec-93</c:v>
                </c:pt>
                <c:pt idx="60">
                  <c:v>Jan-94</c:v>
                </c:pt>
                <c:pt idx="61">
                  <c:v>Feb-94</c:v>
                </c:pt>
                <c:pt idx="62">
                  <c:v>Mar-94</c:v>
                </c:pt>
                <c:pt idx="63">
                  <c:v>Apr-94</c:v>
                </c:pt>
                <c:pt idx="64">
                  <c:v>May-94</c:v>
                </c:pt>
                <c:pt idx="65">
                  <c:v>Jun-94</c:v>
                </c:pt>
                <c:pt idx="66">
                  <c:v>Jul-94</c:v>
                </c:pt>
                <c:pt idx="67">
                  <c:v>Aug-94</c:v>
                </c:pt>
                <c:pt idx="68">
                  <c:v>Sep-94</c:v>
                </c:pt>
                <c:pt idx="69">
                  <c:v>Oct-94</c:v>
                </c:pt>
                <c:pt idx="70">
                  <c:v>Nov-94</c:v>
                </c:pt>
                <c:pt idx="71">
                  <c:v>Dec-94</c:v>
                </c:pt>
                <c:pt idx="72">
                  <c:v>Jan-95</c:v>
                </c:pt>
                <c:pt idx="73">
                  <c:v>Feb-95</c:v>
                </c:pt>
                <c:pt idx="74">
                  <c:v>Mar-95</c:v>
                </c:pt>
                <c:pt idx="75">
                  <c:v>Apr-95</c:v>
                </c:pt>
                <c:pt idx="76">
                  <c:v>May-95</c:v>
                </c:pt>
                <c:pt idx="77">
                  <c:v>Jun-95</c:v>
                </c:pt>
                <c:pt idx="78">
                  <c:v>Jul-95</c:v>
                </c:pt>
                <c:pt idx="79">
                  <c:v>Aug-95</c:v>
                </c:pt>
                <c:pt idx="80">
                  <c:v>Sep-95</c:v>
                </c:pt>
                <c:pt idx="81">
                  <c:v>Oct-95</c:v>
                </c:pt>
                <c:pt idx="82">
                  <c:v>Nov-95</c:v>
                </c:pt>
                <c:pt idx="83">
                  <c:v>Dec-95</c:v>
                </c:pt>
                <c:pt idx="84">
                  <c:v>Jan-96</c:v>
                </c:pt>
                <c:pt idx="85">
                  <c:v>Feb-96</c:v>
                </c:pt>
                <c:pt idx="86">
                  <c:v>Mar-96</c:v>
                </c:pt>
                <c:pt idx="87">
                  <c:v>Apr-96</c:v>
                </c:pt>
                <c:pt idx="88">
                  <c:v> </c:v>
                </c:pt>
                <c:pt idx="89">
                  <c:v>Jun-96</c:v>
                </c:pt>
                <c:pt idx="90">
                  <c:v>Jul-96</c:v>
                </c:pt>
                <c:pt idx="91">
                  <c:v>Aug-96</c:v>
                </c:pt>
                <c:pt idx="92">
                  <c:v>Sep-96</c:v>
                </c:pt>
                <c:pt idx="93">
                  <c:v>Oct-96</c:v>
                </c:pt>
                <c:pt idx="94">
                  <c:v>Nov-96</c:v>
                </c:pt>
                <c:pt idx="95">
                  <c:v>Dec-96</c:v>
                </c:pt>
                <c:pt idx="96">
                  <c:v>Jan-97</c:v>
                </c:pt>
                <c:pt idx="97">
                  <c:v>Feb-97</c:v>
                </c:pt>
                <c:pt idx="98">
                  <c:v>Mar-97</c:v>
                </c:pt>
                <c:pt idx="99">
                  <c:v>Apr-97</c:v>
                </c:pt>
                <c:pt idx="100">
                  <c:v>May-97</c:v>
                </c:pt>
                <c:pt idx="101">
                  <c:v>Jun-97</c:v>
                </c:pt>
                <c:pt idx="102">
                  <c:v>Jul-97</c:v>
                </c:pt>
                <c:pt idx="103">
                  <c:v>Aug-97</c:v>
                </c:pt>
                <c:pt idx="104">
                  <c:v>Sep-97</c:v>
                </c:pt>
                <c:pt idx="105">
                  <c:v>Oct-97</c:v>
                </c:pt>
                <c:pt idx="106">
                  <c:v>Nov-97</c:v>
                </c:pt>
                <c:pt idx="107">
                  <c:v>Dec-97</c:v>
                </c:pt>
                <c:pt idx="108">
                  <c:v>Jan-98</c:v>
                </c:pt>
                <c:pt idx="109">
                  <c:v>Feb-98</c:v>
                </c:pt>
                <c:pt idx="110">
                  <c:v>Mar-98</c:v>
                </c:pt>
                <c:pt idx="111">
                  <c:v>Apr-98</c:v>
                </c:pt>
                <c:pt idx="112">
                  <c:v>May-98</c:v>
                </c:pt>
                <c:pt idx="113">
                  <c:v>Jun-98</c:v>
                </c:pt>
                <c:pt idx="114">
                  <c:v>Jul-98</c:v>
                </c:pt>
                <c:pt idx="115">
                  <c:v>Aug-98</c:v>
                </c:pt>
                <c:pt idx="116">
                  <c:v>Sep-98</c:v>
                </c:pt>
                <c:pt idx="117">
                  <c:v>Oct-98</c:v>
                </c:pt>
                <c:pt idx="118">
                  <c:v>Nov-98</c:v>
                </c:pt>
                <c:pt idx="119">
                  <c:v>Dec-98</c:v>
                </c:pt>
                <c:pt idx="120">
                  <c:v>Jan-99</c:v>
                </c:pt>
                <c:pt idx="121">
                  <c:v>Feb-99</c:v>
                </c:pt>
                <c:pt idx="122">
                  <c:v>Mar-99</c:v>
                </c:pt>
                <c:pt idx="123">
                  <c:v>Apr-99</c:v>
                </c:pt>
                <c:pt idx="124">
                  <c:v>May-99</c:v>
                </c:pt>
                <c:pt idx="125">
                  <c:v>Jun-99</c:v>
                </c:pt>
                <c:pt idx="126">
                  <c:v>Jul-99</c:v>
                </c:pt>
                <c:pt idx="127">
                  <c:v>Aug-99</c:v>
                </c:pt>
                <c:pt idx="128">
                  <c:v>Sep-99</c:v>
                </c:pt>
                <c:pt idx="129">
                  <c:v>Oct-99</c:v>
                </c:pt>
                <c:pt idx="130">
                  <c:v>Nov-99</c:v>
                </c:pt>
                <c:pt idx="131">
                  <c:v>Dec-99</c:v>
                </c:pt>
                <c:pt idx="132">
                  <c:v>Jan-00</c:v>
                </c:pt>
                <c:pt idx="133">
                  <c:v>Feb-00</c:v>
                </c:pt>
                <c:pt idx="134">
                  <c:v>Mar-00</c:v>
                </c:pt>
                <c:pt idx="135">
                  <c:v>Apr-00</c:v>
                </c:pt>
                <c:pt idx="136">
                  <c:v>May-00</c:v>
                </c:pt>
                <c:pt idx="137">
                  <c:v>Jun-00</c:v>
                </c:pt>
                <c:pt idx="138">
                  <c:v>Jul-00</c:v>
                </c:pt>
                <c:pt idx="139">
                  <c:v>Aug-00</c:v>
                </c:pt>
                <c:pt idx="140">
                  <c:v>Sep-00</c:v>
                </c:pt>
                <c:pt idx="141">
                  <c:v>Oct-00</c:v>
                </c:pt>
                <c:pt idx="142">
                  <c:v>Nov-00</c:v>
                </c:pt>
                <c:pt idx="143">
                  <c:v>Dec-00</c:v>
                </c:pt>
                <c:pt idx="144">
                  <c:v>Jan-01</c:v>
                </c:pt>
                <c:pt idx="145">
                  <c:v>Feb-01</c:v>
                </c:pt>
                <c:pt idx="146">
                  <c:v>Mar-01</c:v>
                </c:pt>
                <c:pt idx="147">
                  <c:v>Apr-01</c:v>
                </c:pt>
                <c:pt idx="148">
                  <c:v>May-01</c:v>
                </c:pt>
                <c:pt idx="149">
                  <c:v>Jun-01</c:v>
                </c:pt>
                <c:pt idx="150">
                  <c:v>Jul-01</c:v>
                </c:pt>
                <c:pt idx="151">
                  <c:v>Aug-01</c:v>
                </c:pt>
                <c:pt idx="152">
                  <c:v>Sep-01</c:v>
                </c:pt>
                <c:pt idx="153">
                  <c:v>Oct-01</c:v>
                </c:pt>
                <c:pt idx="154">
                  <c:v>Nov-01</c:v>
                </c:pt>
                <c:pt idx="155">
                  <c:v>Dec-01</c:v>
                </c:pt>
                <c:pt idx="156">
                  <c:v>Jan-02</c:v>
                </c:pt>
                <c:pt idx="157">
                  <c:v>Feb-02</c:v>
                </c:pt>
                <c:pt idx="158">
                  <c:v>Mar-02</c:v>
                </c:pt>
                <c:pt idx="159">
                  <c:v>Apr-02</c:v>
                </c:pt>
                <c:pt idx="160">
                  <c:v>May-02</c:v>
                </c:pt>
                <c:pt idx="161">
                  <c:v>Jun-02</c:v>
                </c:pt>
                <c:pt idx="162">
                  <c:v>Jul-02</c:v>
                </c:pt>
                <c:pt idx="163">
                  <c:v>Aug-02</c:v>
                </c:pt>
                <c:pt idx="164">
                  <c:v>Sep-02</c:v>
                </c:pt>
                <c:pt idx="165">
                  <c:v>Oct-02</c:v>
                </c:pt>
                <c:pt idx="166">
                  <c:v>Nov-02</c:v>
                </c:pt>
                <c:pt idx="167">
                  <c:v>Dec-02</c:v>
                </c:pt>
                <c:pt idx="168">
                  <c:v>Jan-03</c:v>
                </c:pt>
                <c:pt idx="169">
                  <c:v>Feb-03</c:v>
                </c:pt>
                <c:pt idx="170">
                  <c:v>Mar-03</c:v>
                </c:pt>
                <c:pt idx="171">
                  <c:v>Apr-03</c:v>
                </c:pt>
                <c:pt idx="172">
                  <c:v>May-03</c:v>
                </c:pt>
                <c:pt idx="173">
                  <c:v>Jun-03</c:v>
                </c:pt>
                <c:pt idx="174">
                  <c:v>Jul-03</c:v>
                </c:pt>
                <c:pt idx="175">
                  <c:v>Aug-03</c:v>
                </c:pt>
                <c:pt idx="176">
                  <c:v>Sep-03</c:v>
                </c:pt>
                <c:pt idx="177">
                  <c:v>Oct-03</c:v>
                </c:pt>
                <c:pt idx="178">
                  <c:v>Nov-03</c:v>
                </c:pt>
                <c:pt idx="179">
                  <c:v>Dec-03</c:v>
                </c:pt>
                <c:pt idx="180">
                  <c:v>Jan-04</c:v>
                </c:pt>
                <c:pt idx="181">
                  <c:v>Feb-04</c:v>
                </c:pt>
                <c:pt idx="182">
                  <c:v>Mar-04</c:v>
                </c:pt>
                <c:pt idx="183">
                  <c:v>Apr-04</c:v>
                </c:pt>
                <c:pt idx="184">
                  <c:v>May-04</c:v>
                </c:pt>
                <c:pt idx="185">
                  <c:v>Jun-04</c:v>
                </c:pt>
                <c:pt idx="186">
                  <c:v>Jul-04</c:v>
                </c:pt>
                <c:pt idx="187">
                  <c:v>Aug-04</c:v>
                </c:pt>
                <c:pt idx="188">
                  <c:v>Sep-04</c:v>
                </c:pt>
                <c:pt idx="189">
                  <c:v>Oct-04</c:v>
                </c:pt>
                <c:pt idx="190">
                  <c:v>Nov-04</c:v>
                </c:pt>
                <c:pt idx="191">
                  <c:v>Dec-04</c:v>
                </c:pt>
                <c:pt idx="192">
                  <c:v>Jan-05</c:v>
                </c:pt>
                <c:pt idx="193">
                  <c:v>Feb-05</c:v>
                </c:pt>
                <c:pt idx="194">
                  <c:v>Mar-05</c:v>
                </c:pt>
                <c:pt idx="195">
                  <c:v>Apr-05</c:v>
                </c:pt>
                <c:pt idx="196">
                  <c:v>May-05</c:v>
                </c:pt>
                <c:pt idx="197">
                  <c:v>Jun-05</c:v>
                </c:pt>
                <c:pt idx="198">
                  <c:v>Jul-05</c:v>
                </c:pt>
                <c:pt idx="199">
                  <c:v>Aug-05</c:v>
                </c:pt>
                <c:pt idx="200">
                  <c:v>Sep-05</c:v>
                </c:pt>
                <c:pt idx="201">
                  <c:v>Oct-05</c:v>
                </c:pt>
                <c:pt idx="202">
                  <c:v>Nov-05</c:v>
                </c:pt>
                <c:pt idx="203">
                  <c:v>Dec-05</c:v>
                </c:pt>
                <c:pt idx="204">
                  <c:v>Jan-06</c:v>
                </c:pt>
                <c:pt idx="205">
                  <c:v>Feb-06</c:v>
                </c:pt>
                <c:pt idx="206">
                  <c:v>Mar-06</c:v>
                </c:pt>
                <c:pt idx="207">
                  <c:v>Apr-06</c:v>
                </c:pt>
                <c:pt idx="208">
                  <c:v>May-06</c:v>
                </c:pt>
                <c:pt idx="209">
                  <c:v>Jun-06</c:v>
                </c:pt>
                <c:pt idx="210">
                  <c:v>Jul-06</c:v>
                </c:pt>
                <c:pt idx="211">
                  <c:v>Aug-06</c:v>
                </c:pt>
                <c:pt idx="212">
                  <c:v>Sep-06</c:v>
                </c:pt>
                <c:pt idx="213">
                  <c:v>Oct-06</c:v>
                </c:pt>
                <c:pt idx="214">
                  <c:v>Nov-06</c:v>
                </c:pt>
                <c:pt idx="215">
                  <c:v>Dec-06</c:v>
                </c:pt>
                <c:pt idx="216">
                  <c:v>Jan-07</c:v>
                </c:pt>
                <c:pt idx="217">
                  <c:v>Feb-07</c:v>
                </c:pt>
                <c:pt idx="218">
                  <c:v>Mar-07</c:v>
                </c:pt>
                <c:pt idx="219">
                  <c:v>Apr-07</c:v>
                </c:pt>
                <c:pt idx="220">
                  <c:v>May-07</c:v>
                </c:pt>
                <c:pt idx="221">
                  <c:v>Jun-07</c:v>
                </c:pt>
                <c:pt idx="222">
                  <c:v>Jul-07</c:v>
                </c:pt>
                <c:pt idx="223">
                  <c:v>Aug-07</c:v>
                </c:pt>
                <c:pt idx="224">
                  <c:v>Sep-07</c:v>
                </c:pt>
                <c:pt idx="225">
                  <c:v>Oct-07</c:v>
                </c:pt>
                <c:pt idx="226">
                  <c:v>Nov-07</c:v>
                </c:pt>
                <c:pt idx="227">
                  <c:v>Dec-07</c:v>
                </c:pt>
                <c:pt idx="228">
                  <c:v>Jan-08</c:v>
                </c:pt>
                <c:pt idx="229">
                  <c:v>Feb-08</c:v>
                </c:pt>
                <c:pt idx="230">
                  <c:v>Mar-08</c:v>
                </c:pt>
                <c:pt idx="231">
                  <c:v>Apr-08</c:v>
                </c:pt>
                <c:pt idx="232">
                  <c:v>May-08</c:v>
                </c:pt>
                <c:pt idx="233">
                  <c:v>Jun-08</c:v>
                </c:pt>
                <c:pt idx="234">
                  <c:v>Jul-08</c:v>
                </c:pt>
                <c:pt idx="235">
                  <c:v>Aug-08</c:v>
                </c:pt>
                <c:pt idx="236">
                  <c:v>Sep-08</c:v>
                </c:pt>
                <c:pt idx="237">
                  <c:v>Oct-08</c:v>
                </c:pt>
                <c:pt idx="238">
                  <c:v>Nov-08</c:v>
                </c:pt>
                <c:pt idx="239">
                  <c:v>Dec-08</c:v>
                </c:pt>
                <c:pt idx="240">
                  <c:v>Jan-09</c:v>
                </c:pt>
                <c:pt idx="241">
                  <c:v>Feb-09</c:v>
                </c:pt>
                <c:pt idx="242">
                  <c:v>Mar-09</c:v>
                </c:pt>
                <c:pt idx="243">
                  <c:v>Apr-09</c:v>
                </c:pt>
                <c:pt idx="244">
                  <c:v>May-09</c:v>
                </c:pt>
                <c:pt idx="245">
                  <c:v>Jun-09</c:v>
                </c:pt>
                <c:pt idx="246">
                  <c:v>Jul-09</c:v>
                </c:pt>
                <c:pt idx="247">
                  <c:v>Aug-09</c:v>
                </c:pt>
                <c:pt idx="248">
                  <c:v>Sep-09</c:v>
                </c:pt>
                <c:pt idx="249">
                  <c:v>Oct-09</c:v>
                </c:pt>
                <c:pt idx="250">
                  <c:v>Nov-09</c:v>
                </c:pt>
                <c:pt idx="251">
                  <c:v>Dec-09</c:v>
                </c:pt>
                <c:pt idx="252">
                  <c:v>Jan-10</c:v>
                </c:pt>
                <c:pt idx="253">
                  <c:v>Feb-10</c:v>
                </c:pt>
                <c:pt idx="254">
                  <c:v>Mar-10</c:v>
                </c:pt>
                <c:pt idx="255">
                  <c:v>Apr-10</c:v>
                </c:pt>
                <c:pt idx="256">
                  <c:v>May-10</c:v>
                </c:pt>
                <c:pt idx="257">
                  <c:v>Jun-10</c:v>
                </c:pt>
                <c:pt idx="258">
                  <c:v>Jul-10</c:v>
                </c:pt>
                <c:pt idx="259">
                  <c:v>Aug-10</c:v>
                </c:pt>
                <c:pt idx="260">
                  <c:v>Sep-10</c:v>
                </c:pt>
                <c:pt idx="261">
                  <c:v>Oct-10</c:v>
                </c:pt>
                <c:pt idx="262">
                  <c:v>Nov-10</c:v>
                </c:pt>
                <c:pt idx="263">
                  <c:v>Dec-10</c:v>
                </c:pt>
                <c:pt idx="264">
                  <c:v>Jan-11</c:v>
                </c:pt>
                <c:pt idx="265">
                  <c:v>Feb-11</c:v>
                </c:pt>
                <c:pt idx="266">
                  <c:v>Mar-11</c:v>
                </c:pt>
                <c:pt idx="267">
                  <c:v>Apr-11</c:v>
                </c:pt>
                <c:pt idx="268">
                  <c:v>May-11</c:v>
                </c:pt>
                <c:pt idx="269">
                  <c:v>Jun-11</c:v>
                </c:pt>
                <c:pt idx="270">
                  <c:v>Jul-11</c:v>
                </c:pt>
                <c:pt idx="271">
                  <c:v>Aug-11</c:v>
                </c:pt>
                <c:pt idx="272">
                  <c:v>Sep-11</c:v>
                </c:pt>
                <c:pt idx="273">
                  <c:v>Oct-11</c:v>
                </c:pt>
                <c:pt idx="274">
                  <c:v>Nov-11</c:v>
                </c:pt>
                <c:pt idx="275">
                  <c:v>Dec-11</c:v>
                </c:pt>
                <c:pt idx="276">
                  <c:v>Jan-12</c:v>
                </c:pt>
                <c:pt idx="277">
                  <c:v>Feb-12</c:v>
                </c:pt>
                <c:pt idx="278">
                  <c:v>Mar-12</c:v>
                </c:pt>
                <c:pt idx="279">
                  <c:v>Apr-12</c:v>
                </c:pt>
                <c:pt idx="280">
                  <c:v>May-12</c:v>
                </c:pt>
                <c:pt idx="281">
                  <c:v>Jun-12</c:v>
                </c:pt>
                <c:pt idx="282">
                  <c:v>Jul-12</c:v>
                </c:pt>
                <c:pt idx="283">
                  <c:v>Aug-12</c:v>
                </c:pt>
                <c:pt idx="284">
                  <c:v>Sep-12</c:v>
                </c:pt>
                <c:pt idx="285">
                  <c:v>Oct-12</c:v>
                </c:pt>
                <c:pt idx="286">
                  <c:v>Nov-12</c:v>
                </c:pt>
                <c:pt idx="287">
                  <c:v>Dec-12</c:v>
                </c:pt>
                <c:pt idx="288">
                  <c:v>Jan-13</c:v>
                </c:pt>
                <c:pt idx="289">
                  <c:v>Feb-13</c:v>
                </c:pt>
                <c:pt idx="290">
                  <c:v>Mar-13</c:v>
                </c:pt>
                <c:pt idx="291">
                  <c:v>Apr-13</c:v>
                </c:pt>
                <c:pt idx="292">
                  <c:v>May-13</c:v>
                </c:pt>
                <c:pt idx="293">
                  <c:v>Jun-13</c:v>
                </c:pt>
                <c:pt idx="294">
                  <c:v>Jul-13</c:v>
                </c:pt>
                <c:pt idx="295">
                  <c:v>Aug-13</c:v>
                </c:pt>
                <c:pt idx="296">
                  <c:v>Sep-13</c:v>
                </c:pt>
                <c:pt idx="297">
                  <c:v>Oct-13</c:v>
                </c:pt>
                <c:pt idx="298">
                  <c:v>Nov-13</c:v>
                </c:pt>
                <c:pt idx="299">
                  <c:v>Dec-13</c:v>
                </c:pt>
              </c:strCache>
            </c:strRef>
          </c:cat>
          <c:val>
            <c:numRef>
              <c:f>'Month S&amp;P'!$H$15:$H$275</c:f>
              <c:numCache>
                <c:formatCode>#,##0_);[Red]\(#,##0\)</c:formatCode>
                <c:ptCount val="261"/>
                <c:pt idx="0">
                  <c:v>647196.0</c:v>
                </c:pt>
                <c:pt idx="1">
                  <c:v>435886.0</c:v>
                </c:pt>
                <c:pt idx="2">
                  <c:v>375681.0</c:v>
                </c:pt>
                <c:pt idx="3">
                  <c:v>381466.0</c:v>
                </c:pt>
                <c:pt idx="4">
                  <c:v>510081.0</c:v>
                </c:pt>
                <c:pt idx="5">
                  <c:v>556238.0</c:v>
                </c:pt>
                <c:pt idx="6">
                  <c:v>386031.0</c:v>
                </c:pt>
                <c:pt idx="7">
                  <c:v>353078.0</c:v>
                </c:pt>
                <c:pt idx="8">
                  <c:v>321907.0</c:v>
                </c:pt>
                <c:pt idx="9">
                  <c:v>332224.0</c:v>
                </c:pt>
                <c:pt idx="10">
                  <c:v>433337.0</c:v>
                </c:pt>
                <c:pt idx="11">
                  <c:v>701977.0</c:v>
                </c:pt>
                <c:pt idx="12">
                  <c:v>775645.0</c:v>
                </c:pt>
                <c:pt idx="13">
                  <c:v>738175.0</c:v>
                </c:pt>
                <c:pt idx="14">
                  <c:v>1.043965E6</c:v>
                </c:pt>
                <c:pt idx="15">
                  <c:v>1.190022E6</c:v>
                </c:pt>
                <c:pt idx="16">
                  <c:v>1.053977E6</c:v>
                </c:pt>
                <c:pt idx="17">
                  <c:v>1.017682E6</c:v>
                </c:pt>
                <c:pt idx="18">
                  <c:v>1.064565E6</c:v>
                </c:pt>
                <c:pt idx="19">
                  <c:v>1.102093E6</c:v>
                </c:pt>
                <c:pt idx="20">
                  <c:v>1.156302E6</c:v>
                </c:pt>
                <c:pt idx="21">
                  <c:v>994353.0</c:v>
                </c:pt>
                <c:pt idx="22">
                  <c:v>783371.0</c:v>
                </c:pt>
                <c:pt idx="23">
                  <c:v>707259.0</c:v>
                </c:pt>
                <c:pt idx="24">
                  <c:v>334296.0</c:v>
                </c:pt>
                <c:pt idx="25">
                  <c:v>360458.0</c:v>
                </c:pt>
                <c:pt idx="26">
                  <c:v>48336.0</c:v>
                </c:pt>
                <c:pt idx="27">
                  <c:v>83877.0</c:v>
                </c:pt>
                <c:pt idx="28">
                  <c:v>251473.0</c:v>
                </c:pt>
                <c:pt idx="29">
                  <c:v>217826.0</c:v>
                </c:pt>
                <c:pt idx="30">
                  <c:v>241138.0</c:v>
                </c:pt>
                <c:pt idx="31">
                  <c:v>215463.0</c:v>
                </c:pt>
                <c:pt idx="32">
                  <c:v>102454.0</c:v>
                </c:pt>
                <c:pt idx="33">
                  <c:v>425983.0</c:v>
                </c:pt>
                <c:pt idx="34">
                  <c:v>819636.0</c:v>
                </c:pt>
                <c:pt idx="35">
                  <c:v>1.056133E6</c:v>
                </c:pt>
                <c:pt idx="36">
                  <c:v>1.378411E6</c:v>
                </c:pt>
                <c:pt idx="37">
                  <c:v>1.405179E6</c:v>
                </c:pt>
                <c:pt idx="38">
                  <c:v>1.532427E6</c:v>
                </c:pt>
                <c:pt idx="39">
                  <c:v>1.485841E6</c:v>
                </c:pt>
                <c:pt idx="40">
                  <c:v>1.460479E6</c:v>
                </c:pt>
                <c:pt idx="41">
                  <c:v>1.472296E6</c:v>
                </c:pt>
                <c:pt idx="42">
                  <c:v>1.632535E6</c:v>
                </c:pt>
                <c:pt idx="43">
                  <c:v>1.595045E6</c:v>
                </c:pt>
                <c:pt idx="44">
                  <c:v>1.522068E6</c:v>
                </c:pt>
                <c:pt idx="45">
                  <c:v>1.237307E6</c:v>
                </c:pt>
                <c:pt idx="46">
                  <c:v>653743.0</c:v>
                </c:pt>
                <c:pt idx="47">
                  <c:v>22000.0</c:v>
                </c:pt>
                <c:pt idx="48">
                  <c:v>13841.0</c:v>
                </c:pt>
                <c:pt idx="49">
                  <c:v>-56407.0</c:v>
                </c:pt>
                <c:pt idx="50">
                  <c:v>-70835.0</c:v>
                </c:pt>
                <c:pt idx="51">
                  <c:v>-15589.0</c:v>
                </c:pt>
                <c:pt idx="52">
                  <c:v>-38426.47</c:v>
                </c:pt>
                <c:pt idx="53">
                  <c:v>25939.29000000001</c:v>
                </c:pt>
                <c:pt idx="54">
                  <c:v>-332265.71</c:v>
                </c:pt>
                <c:pt idx="55">
                  <c:v>-378658.71</c:v>
                </c:pt>
                <c:pt idx="56">
                  <c:v>-390074.3</c:v>
                </c:pt>
                <c:pt idx="57">
                  <c:v>-313351.3</c:v>
                </c:pt>
                <c:pt idx="58">
                  <c:v>179987.83</c:v>
                </c:pt>
                <c:pt idx="59">
                  <c:v>630314.1400000001</c:v>
                </c:pt>
                <c:pt idx="60">
                  <c:v>314358.1400000001</c:v>
                </c:pt>
                <c:pt idx="61">
                  <c:v>309016.8100000002</c:v>
                </c:pt>
                <c:pt idx="62">
                  <c:v>359362.8100000002</c:v>
                </c:pt>
                <c:pt idx="63">
                  <c:v>241908.8100000002</c:v>
                </c:pt>
                <c:pt idx="64">
                  <c:v>-60470.18999999994</c:v>
                </c:pt>
                <c:pt idx="65">
                  <c:v>94215.73000000004</c:v>
                </c:pt>
                <c:pt idx="66">
                  <c:v>29368.73000000004</c:v>
                </c:pt>
                <c:pt idx="67">
                  <c:v>137296.73</c:v>
                </c:pt>
                <c:pt idx="68">
                  <c:v>321402.32</c:v>
                </c:pt>
                <c:pt idx="69">
                  <c:v>373298.32</c:v>
                </c:pt>
                <c:pt idx="70">
                  <c:v>471479.19</c:v>
                </c:pt>
                <c:pt idx="71">
                  <c:v>451942.8800000001</c:v>
                </c:pt>
                <c:pt idx="72">
                  <c:v>444840.266</c:v>
                </c:pt>
                <c:pt idx="73">
                  <c:v>538134.7659999999</c:v>
                </c:pt>
                <c:pt idx="74">
                  <c:v>407529.3009999999</c:v>
                </c:pt>
                <c:pt idx="75">
                  <c:v>212359.5374999999</c:v>
                </c:pt>
                <c:pt idx="76">
                  <c:v>248845.0814999999</c:v>
                </c:pt>
                <c:pt idx="77">
                  <c:v>-160601.8785</c:v>
                </c:pt>
                <c:pt idx="78">
                  <c:v>-117453.6510000001</c:v>
                </c:pt>
                <c:pt idx="79">
                  <c:v>33928.85700000002</c:v>
                </c:pt>
                <c:pt idx="80">
                  <c:v>-144676.097</c:v>
                </c:pt>
                <c:pt idx="81">
                  <c:v>-299114.6604999999</c:v>
                </c:pt>
                <c:pt idx="82">
                  <c:v>-338130.9890000001</c:v>
                </c:pt>
                <c:pt idx="83">
                  <c:v>-549099.1870000002</c:v>
                </c:pt>
                <c:pt idx="84">
                  <c:v>-427987.5750000001</c:v>
                </c:pt>
                <c:pt idx="85">
                  <c:v>-229674.153</c:v>
                </c:pt>
                <c:pt idx="86">
                  <c:v>-440329.6800000001</c:v>
                </c:pt>
                <c:pt idx="87">
                  <c:v>-223751.8765</c:v>
                </c:pt>
                <c:pt idx="88">
                  <c:v>73943.1695</c:v>
                </c:pt>
                <c:pt idx="89">
                  <c:v>117085.5244999999</c:v>
                </c:pt>
                <c:pt idx="90">
                  <c:v>-160338.428</c:v>
                </c:pt>
                <c:pt idx="91">
                  <c:v>-411071.311</c:v>
                </c:pt>
                <c:pt idx="92">
                  <c:v>-360238.917</c:v>
                </c:pt>
                <c:pt idx="93">
                  <c:v>-627594.0015</c:v>
                </c:pt>
                <c:pt idx="94">
                  <c:v>-708286.441</c:v>
                </c:pt>
                <c:pt idx="95">
                  <c:v>-319863.523</c:v>
                </c:pt>
                <c:pt idx="96">
                  <c:v>-79350.85400000003</c:v>
                </c:pt>
                <c:pt idx="97">
                  <c:v>-208091.625</c:v>
                </c:pt>
                <c:pt idx="98">
                  <c:v>30611.02700000002</c:v>
                </c:pt>
                <c:pt idx="99">
                  <c:v>-173725.546</c:v>
                </c:pt>
                <c:pt idx="100">
                  <c:v>-291753.5550000001</c:v>
                </c:pt>
                <c:pt idx="101">
                  <c:v>-418957.343</c:v>
                </c:pt>
                <c:pt idx="102">
                  <c:v>-162060.739</c:v>
                </c:pt>
                <c:pt idx="103">
                  <c:v>-173078.7399999999</c:v>
                </c:pt>
                <c:pt idx="104">
                  <c:v>-194233.2859999999</c:v>
                </c:pt>
                <c:pt idx="105">
                  <c:v>281367.855</c:v>
                </c:pt>
                <c:pt idx="106">
                  <c:v>155780.9730000001</c:v>
                </c:pt>
                <c:pt idx="107">
                  <c:v>36242.26300000002</c:v>
                </c:pt>
                <c:pt idx="108">
                  <c:v>41889.59600000004</c:v>
                </c:pt>
                <c:pt idx="109">
                  <c:v>-166656.2249999999</c:v>
                </c:pt>
                <c:pt idx="110">
                  <c:v>-313981.885</c:v>
                </c:pt>
                <c:pt idx="111">
                  <c:v>-130832.352</c:v>
                </c:pt>
                <c:pt idx="112">
                  <c:v>-423834.4629999999</c:v>
                </c:pt>
                <c:pt idx="113">
                  <c:v>-265273.75</c:v>
                </c:pt>
                <c:pt idx="114">
                  <c:v>-205728.629</c:v>
                </c:pt>
                <c:pt idx="115">
                  <c:v>-345912.253</c:v>
                </c:pt>
                <c:pt idx="116">
                  <c:v>-832874.147</c:v>
                </c:pt>
                <c:pt idx="117">
                  <c:v>-907438.64</c:v>
                </c:pt>
                <c:pt idx="118">
                  <c:v>-803437.99</c:v>
                </c:pt>
                <c:pt idx="119">
                  <c:v>-844960.0</c:v>
                </c:pt>
                <c:pt idx="120">
                  <c:v>-712908.0</c:v>
                </c:pt>
                <c:pt idx="121">
                  <c:v>-573052.0</c:v>
                </c:pt>
                <c:pt idx="122">
                  <c:v>-172497.0</c:v>
                </c:pt>
                <c:pt idx="123">
                  <c:v>-86026.0</c:v>
                </c:pt>
                <c:pt idx="124">
                  <c:v>306338.0</c:v>
                </c:pt>
                <c:pt idx="125">
                  <c:v>351707.0</c:v>
                </c:pt>
                <c:pt idx="126">
                  <c:v>568076.0</c:v>
                </c:pt>
                <c:pt idx="127">
                  <c:v>765468.0</c:v>
                </c:pt>
                <c:pt idx="128">
                  <c:v>1.349639E6</c:v>
                </c:pt>
                <c:pt idx="129">
                  <c:v>1.175647E6</c:v>
                </c:pt>
                <c:pt idx="130">
                  <c:v>1.140711E6</c:v>
                </c:pt>
                <c:pt idx="131">
                  <c:v>1.121905E6</c:v>
                </c:pt>
                <c:pt idx="132">
                  <c:v>994713.0</c:v>
                </c:pt>
                <c:pt idx="133">
                  <c:v>1.166706E6</c:v>
                </c:pt>
                <c:pt idx="134">
                  <c:v>1.190695E6</c:v>
                </c:pt>
                <c:pt idx="135">
                  <c:v>1.11292E6</c:v>
                </c:pt>
                <c:pt idx="136">
                  <c:v>1.421583E6</c:v>
                </c:pt>
                <c:pt idx="137">
                  <c:v>1.628156E6</c:v>
                </c:pt>
                <c:pt idx="138">
                  <c:v>1.589573E6</c:v>
                </c:pt>
                <c:pt idx="139">
                  <c:v>1.659849E6</c:v>
                </c:pt>
                <c:pt idx="140">
                  <c:v>1.744319E6</c:v>
                </c:pt>
                <c:pt idx="141">
                  <c:v>1.988398E6</c:v>
                </c:pt>
                <c:pt idx="142">
                  <c:v>1.823946E6</c:v>
                </c:pt>
                <c:pt idx="143">
                  <c:v>1.860698E6</c:v>
                </c:pt>
                <c:pt idx="144">
                  <c:v>1.837484E6</c:v>
                </c:pt>
                <c:pt idx="145">
                  <c:v>2.003081E6</c:v>
                </c:pt>
                <c:pt idx="146">
                  <c:v>1.980105E6</c:v>
                </c:pt>
                <c:pt idx="147">
                  <c:v>2.426976E6</c:v>
                </c:pt>
                <c:pt idx="148">
                  <c:v>2.37318E6</c:v>
                </c:pt>
                <c:pt idx="149">
                  <c:v>2.539883E6</c:v>
                </c:pt>
                <c:pt idx="150">
                  <c:v>2.421901E6</c:v>
                </c:pt>
                <c:pt idx="151">
                  <c:v>2.460099E6</c:v>
                </c:pt>
                <c:pt idx="152">
                  <c:v>2.324758E6</c:v>
                </c:pt>
                <c:pt idx="153">
                  <c:v>2.741003E6</c:v>
                </c:pt>
                <c:pt idx="154">
                  <c:v>2.845875E6</c:v>
                </c:pt>
                <c:pt idx="155">
                  <c:v>2.639717E6</c:v>
                </c:pt>
                <c:pt idx="156">
                  <c:v>2.505731E6</c:v>
                </c:pt>
                <c:pt idx="157">
                  <c:v>2.26158E6</c:v>
                </c:pt>
                <c:pt idx="158">
                  <c:v>2.53061E6</c:v>
                </c:pt>
                <c:pt idx="159">
                  <c:v>2.127039E6</c:v>
                </c:pt>
                <c:pt idx="160">
                  <c:v>2.131101E6</c:v>
                </c:pt>
                <c:pt idx="161">
                  <c:v>1.779468E6</c:v>
                </c:pt>
                <c:pt idx="162">
                  <c:v>1.521358E6</c:v>
                </c:pt>
                <c:pt idx="163">
                  <c:v>1.073965E6</c:v>
                </c:pt>
                <c:pt idx="164">
                  <c:v>964195.0</c:v>
                </c:pt>
                <c:pt idx="165">
                  <c:v>306151.0</c:v>
                </c:pt>
                <c:pt idx="166">
                  <c:v>420588.0</c:v>
                </c:pt>
                <c:pt idx="167">
                  <c:v>528302.0</c:v>
                </c:pt>
                <c:pt idx="168">
                  <c:v>420991.0</c:v>
                </c:pt>
                <c:pt idx="169">
                  <c:v>417198.0</c:v>
                </c:pt>
                <c:pt idx="170">
                  <c:v>-114099.0</c:v>
                </c:pt>
                <c:pt idx="171">
                  <c:v>85082.0</c:v>
                </c:pt>
                <c:pt idx="172">
                  <c:v>-147509.0</c:v>
                </c:pt>
                <c:pt idx="173">
                  <c:v>242623.0</c:v>
                </c:pt>
                <c:pt idx="174">
                  <c:v>476777.0</c:v>
                </c:pt>
                <c:pt idx="175">
                  <c:v>960667.0</c:v>
                </c:pt>
                <c:pt idx="176">
                  <c:v>1.184846E6</c:v>
                </c:pt>
                <c:pt idx="177">
                  <c:v>1.208607E6</c:v>
                </c:pt>
                <c:pt idx="178">
                  <c:v>1.160118E6</c:v>
                </c:pt>
                <c:pt idx="179">
                  <c:v>952096.0</c:v>
                </c:pt>
                <c:pt idx="180">
                  <c:v>1.076346E6</c:v>
                </c:pt>
                <c:pt idx="181">
                  <c:v>827575.0</c:v>
                </c:pt>
                <c:pt idx="182">
                  <c:v>1.159847E6</c:v>
                </c:pt>
                <c:pt idx="183">
                  <c:v>820468.0</c:v>
                </c:pt>
                <c:pt idx="184">
                  <c:v>523391.0</c:v>
                </c:pt>
                <c:pt idx="185">
                  <c:v>449949.0</c:v>
                </c:pt>
                <c:pt idx="186">
                  <c:v>76765.0</c:v>
                </c:pt>
                <c:pt idx="187">
                  <c:v>-281516.0</c:v>
                </c:pt>
                <c:pt idx="188">
                  <c:v>-270406.0</c:v>
                </c:pt>
                <c:pt idx="189">
                  <c:v>-47734.0</c:v>
                </c:pt>
                <c:pt idx="190">
                  <c:v>-314336.0</c:v>
                </c:pt>
                <c:pt idx="191">
                  <c:v>-253094.0</c:v>
                </c:pt>
                <c:pt idx="192">
                  <c:v>-490360.0</c:v>
                </c:pt>
                <c:pt idx="193">
                  <c:v>-537031.0</c:v>
                </c:pt>
                <c:pt idx="194">
                  <c:v>-427216.0</c:v>
                </c:pt>
                <c:pt idx="195">
                  <c:v>-139173.0</c:v>
                </c:pt>
                <c:pt idx="196">
                  <c:v>428586.0</c:v>
                </c:pt>
                <c:pt idx="197">
                  <c:v>241459.0</c:v>
                </c:pt>
                <c:pt idx="198">
                  <c:v>265137.0</c:v>
                </c:pt>
                <c:pt idx="199">
                  <c:v>435803.0</c:v>
                </c:pt>
                <c:pt idx="200">
                  <c:v>271077.0</c:v>
                </c:pt>
                <c:pt idx="201">
                  <c:v>-1735.0</c:v>
                </c:pt>
                <c:pt idx="202">
                  <c:v>68414.0</c:v>
                </c:pt>
                <c:pt idx="203">
                  <c:v>165702.0</c:v>
                </c:pt>
                <c:pt idx="204">
                  <c:v>386166.0</c:v>
                </c:pt>
                <c:pt idx="205">
                  <c:v>732712.0</c:v>
                </c:pt>
                <c:pt idx="206">
                  <c:v>297565.0</c:v>
                </c:pt>
                <c:pt idx="207">
                  <c:v>142841.0</c:v>
                </c:pt>
                <c:pt idx="208">
                  <c:v>-85499.0</c:v>
                </c:pt>
                <c:pt idx="209">
                  <c:v>-306146.0</c:v>
                </c:pt>
                <c:pt idx="210">
                  <c:v>-67402.0</c:v>
                </c:pt>
                <c:pt idx="211">
                  <c:v>-214124.0</c:v>
                </c:pt>
                <c:pt idx="212">
                  <c:v>-331286.0</c:v>
                </c:pt>
                <c:pt idx="213">
                  <c:v>-140259.0</c:v>
                </c:pt>
                <c:pt idx="214">
                  <c:v>166113.0</c:v>
                </c:pt>
                <c:pt idx="215">
                  <c:v>76404.0</c:v>
                </c:pt>
                <c:pt idx="216">
                  <c:v>-81794.0</c:v>
                </c:pt>
                <c:pt idx="217">
                  <c:v>-430170.0</c:v>
                </c:pt>
                <c:pt idx="218">
                  <c:v>-402762.0</c:v>
                </c:pt>
                <c:pt idx="219">
                  <c:v>-238229.0</c:v>
                </c:pt>
                <c:pt idx="220">
                  <c:v>-336775.0</c:v>
                </c:pt>
                <c:pt idx="221">
                  <c:v>438174.0</c:v>
                </c:pt>
                <c:pt idx="222">
                  <c:v>779119.0</c:v>
                </c:pt>
                <c:pt idx="223">
                  <c:v>996368.0</c:v>
                </c:pt>
                <c:pt idx="224">
                  <c:v>1.20785E6</c:v>
                </c:pt>
                <c:pt idx="225">
                  <c:v>1.456156E6</c:v>
                </c:pt>
                <c:pt idx="226">
                  <c:v>1.317685E6</c:v>
                </c:pt>
                <c:pt idx="227">
                  <c:v>1.471472E6</c:v>
                </c:pt>
                <c:pt idx="228">
                  <c:v>1.782095E6</c:v>
                </c:pt>
                <c:pt idx="229">
                  <c:v>2.211316E6</c:v>
                </c:pt>
                <c:pt idx="230">
                  <c:v>2.339306E6</c:v>
                </c:pt>
                <c:pt idx="231">
                  <c:v>2.741273E6</c:v>
                </c:pt>
                <c:pt idx="232">
                  <c:v>3.255362E6</c:v>
                </c:pt>
                <c:pt idx="233">
                  <c:v>3.233245E6</c:v>
                </c:pt>
                <c:pt idx="234">
                  <c:v>3.578902E6</c:v>
                </c:pt>
                <c:pt idx="235">
                  <c:v>3.897328E6</c:v>
                </c:pt>
                <c:pt idx="236">
                  <c:v>4.230237E6</c:v>
                </c:pt>
                <c:pt idx="237">
                  <c:v>4.516905E6</c:v>
                </c:pt>
                <c:pt idx="238">
                  <c:v>4.431174E6</c:v>
                </c:pt>
                <c:pt idx="239">
                  <c:v>4.367788E6</c:v>
                </c:pt>
                <c:pt idx="240">
                  <c:v>4.128578E6</c:v>
                </c:pt>
                <c:pt idx="241">
                  <c:v>4.064409E6</c:v>
                </c:pt>
                <c:pt idx="242">
                  <c:v>4.275277E6</c:v>
                </c:pt>
                <c:pt idx="243">
                  <c:v>3.772879E6</c:v>
                </c:pt>
                <c:pt idx="244">
                  <c:v>2.919647E6</c:v>
                </c:pt>
                <c:pt idx="245">
                  <c:v>2.338161E6</c:v>
                </c:pt>
                <c:pt idx="246">
                  <c:v>1.901864E6</c:v>
                </c:pt>
                <c:pt idx="247">
                  <c:v>1.902429E6</c:v>
                </c:pt>
                <c:pt idx="248">
                  <c:v>1.39888E6</c:v>
                </c:pt>
                <c:pt idx="249">
                  <c:v>659978.0</c:v>
                </c:pt>
                <c:pt idx="250">
                  <c:v>626595.0</c:v>
                </c:pt>
                <c:pt idx="251">
                  <c:v>545774.0</c:v>
                </c:pt>
                <c:pt idx="252">
                  <c:v>325446.0</c:v>
                </c:pt>
                <c:pt idx="253">
                  <c:v>-35128.0</c:v>
                </c:pt>
                <c:pt idx="254">
                  <c:v>-699465.0</c:v>
                </c:pt>
                <c:pt idx="255">
                  <c:v>-175345.0</c:v>
                </c:pt>
                <c:pt idx="256">
                  <c:v>643482.0</c:v>
                </c:pt>
                <c:pt idx="257">
                  <c:v>1.198064E6</c:v>
                </c:pt>
                <c:pt idx="258">
                  <c:v>1.160332E6</c:v>
                </c:pt>
                <c:pt idx="259">
                  <c:v>1.147587E6</c:v>
                </c:pt>
                <c:pt idx="260">
                  <c:v>1.409881E6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689144"/>
        <c:axId val="-2048686104"/>
      </c:lineChart>
      <c:lineChart>
        <c:grouping val="standard"/>
        <c:varyColors val="0"/>
        <c:ser>
          <c:idx val="2"/>
          <c:order val="1"/>
          <c:tx>
            <c:v>17.33 % of Rolling 12 Month Sales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2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 S&amp;P'!$A$15:$A$319</c:f>
              <c:strCache>
                <c:ptCount val="300"/>
                <c:pt idx="0">
                  <c:v>Jan-89</c:v>
                </c:pt>
                <c:pt idx="1">
                  <c:v>Feb-89</c:v>
                </c:pt>
                <c:pt idx="2">
                  <c:v>Mar-89</c:v>
                </c:pt>
                <c:pt idx="3">
                  <c:v>Apr-89</c:v>
                </c:pt>
                <c:pt idx="4">
                  <c:v>May-89</c:v>
                </c:pt>
                <c:pt idx="5">
                  <c:v>Jun-89</c:v>
                </c:pt>
                <c:pt idx="6">
                  <c:v>Jul-89</c:v>
                </c:pt>
                <c:pt idx="7">
                  <c:v>Aug-89</c:v>
                </c:pt>
                <c:pt idx="8">
                  <c:v>Sep-89</c:v>
                </c:pt>
                <c:pt idx="9">
                  <c:v>Oct-89</c:v>
                </c:pt>
                <c:pt idx="10">
                  <c:v>Nov-89</c:v>
                </c:pt>
                <c:pt idx="11">
                  <c:v>Dec-89</c:v>
                </c:pt>
                <c:pt idx="12">
                  <c:v>Jan-90</c:v>
                </c:pt>
                <c:pt idx="13">
                  <c:v>Feb-90</c:v>
                </c:pt>
                <c:pt idx="14">
                  <c:v>Mar-90</c:v>
                </c:pt>
                <c:pt idx="15">
                  <c:v>Apr-90</c:v>
                </c:pt>
                <c:pt idx="16">
                  <c:v>May-90</c:v>
                </c:pt>
                <c:pt idx="17">
                  <c:v>Jun-90</c:v>
                </c:pt>
                <c:pt idx="18">
                  <c:v>Jul-90</c:v>
                </c:pt>
                <c:pt idx="19">
                  <c:v>Aug-90</c:v>
                </c:pt>
                <c:pt idx="20">
                  <c:v>Sep-90</c:v>
                </c:pt>
                <c:pt idx="21">
                  <c:v>Oct-90</c:v>
                </c:pt>
                <c:pt idx="22">
                  <c:v>Nov-90</c:v>
                </c:pt>
                <c:pt idx="23">
                  <c:v>Dec-90</c:v>
                </c:pt>
                <c:pt idx="24">
                  <c:v>Jan-91</c:v>
                </c:pt>
                <c:pt idx="25">
                  <c:v>Feb-91</c:v>
                </c:pt>
                <c:pt idx="26">
                  <c:v>Mar-91</c:v>
                </c:pt>
                <c:pt idx="27">
                  <c:v>Apr-91</c:v>
                </c:pt>
                <c:pt idx="28">
                  <c:v>May-91</c:v>
                </c:pt>
                <c:pt idx="29">
                  <c:v>Jun-91</c:v>
                </c:pt>
                <c:pt idx="30">
                  <c:v>Jul-91</c:v>
                </c:pt>
                <c:pt idx="31">
                  <c:v>Aug-91</c:v>
                </c:pt>
                <c:pt idx="32">
                  <c:v>Sep-91</c:v>
                </c:pt>
                <c:pt idx="33">
                  <c:v>Oct-91</c:v>
                </c:pt>
                <c:pt idx="34">
                  <c:v>Nov-91</c:v>
                </c:pt>
                <c:pt idx="35">
                  <c:v>Dec-91</c:v>
                </c:pt>
                <c:pt idx="36">
                  <c:v>Jan-92</c:v>
                </c:pt>
                <c:pt idx="37">
                  <c:v>Feb-92</c:v>
                </c:pt>
                <c:pt idx="38">
                  <c:v>Mar-92</c:v>
                </c:pt>
                <c:pt idx="39">
                  <c:v>Apr-92</c:v>
                </c:pt>
                <c:pt idx="40">
                  <c:v>May-92</c:v>
                </c:pt>
                <c:pt idx="41">
                  <c:v>Jun-92</c:v>
                </c:pt>
                <c:pt idx="42">
                  <c:v>Jul-92</c:v>
                </c:pt>
                <c:pt idx="43">
                  <c:v>Aug-92</c:v>
                </c:pt>
                <c:pt idx="44">
                  <c:v>Sep-92</c:v>
                </c:pt>
                <c:pt idx="45">
                  <c:v>Oct-92</c:v>
                </c:pt>
                <c:pt idx="46">
                  <c:v>Nov-92</c:v>
                </c:pt>
                <c:pt idx="47">
                  <c:v>Dec-92</c:v>
                </c:pt>
                <c:pt idx="48">
                  <c:v>Jan-93</c:v>
                </c:pt>
                <c:pt idx="49">
                  <c:v>Feb-93</c:v>
                </c:pt>
                <c:pt idx="50">
                  <c:v>Mar-93</c:v>
                </c:pt>
                <c:pt idx="51">
                  <c:v>Apr-93</c:v>
                </c:pt>
                <c:pt idx="52">
                  <c:v>May-93</c:v>
                </c:pt>
                <c:pt idx="53">
                  <c:v>Jun-93</c:v>
                </c:pt>
                <c:pt idx="54">
                  <c:v>Jul-93</c:v>
                </c:pt>
                <c:pt idx="55">
                  <c:v>Aug-93</c:v>
                </c:pt>
                <c:pt idx="56">
                  <c:v>Sep-93</c:v>
                </c:pt>
                <c:pt idx="57">
                  <c:v>Oct-93</c:v>
                </c:pt>
                <c:pt idx="58">
                  <c:v>Nov-93</c:v>
                </c:pt>
                <c:pt idx="59">
                  <c:v>Dec-93</c:v>
                </c:pt>
                <c:pt idx="60">
                  <c:v>Jan-94</c:v>
                </c:pt>
                <c:pt idx="61">
                  <c:v>Feb-94</c:v>
                </c:pt>
                <c:pt idx="62">
                  <c:v>Mar-94</c:v>
                </c:pt>
                <c:pt idx="63">
                  <c:v>Apr-94</c:v>
                </c:pt>
                <c:pt idx="64">
                  <c:v>May-94</c:v>
                </c:pt>
                <c:pt idx="65">
                  <c:v>Jun-94</c:v>
                </c:pt>
                <c:pt idx="66">
                  <c:v>Jul-94</c:v>
                </c:pt>
                <c:pt idx="67">
                  <c:v>Aug-94</c:v>
                </c:pt>
                <c:pt idx="68">
                  <c:v>Sep-94</c:v>
                </c:pt>
                <c:pt idx="69">
                  <c:v>Oct-94</c:v>
                </c:pt>
                <c:pt idx="70">
                  <c:v>Nov-94</c:v>
                </c:pt>
                <c:pt idx="71">
                  <c:v>Dec-94</c:v>
                </c:pt>
                <c:pt idx="72">
                  <c:v>Jan-95</c:v>
                </c:pt>
                <c:pt idx="73">
                  <c:v>Feb-95</c:v>
                </c:pt>
                <c:pt idx="74">
                  <c:v>Mar-95</c:v>
                </c:pt>
                <c:pt idx="75">
                  <c:v>Apr-95</c:v>
                </c:pt>
                <c:pt idx="76">
                  <c:v>May-95</c:v>
                </c:pt>
                <c:pt idx="77">
                  <c:v>Jun-95</c:v>
                </c:pt>
                <c:pt idx="78">
                  <c:v>Jul-95</c:v>
                </c:pt>
                <c:pt idx="79">
                  <c:v>Aug-95</c:v>
                </c:pt>
                <c:pt idx="80">
                  <c:v>Sep-95</c:v>
                </c:pt>
                <c:pt idx="81">
                  <c:v>Oct-95</c:v>
                </c:pt>
                <c:pt idx="82">
                  <c:v>Nov-95</c:v>
                </c:pt>
                <c:pt idx="83">
                  <c:v>Dec-95</c:v>
                </c:pt>
                <c:pt idx="84">
                  <c:v>Jan-96</c:v>
                </c:pt>
                <c:pt idx="85">
                  <c:v>Feb-96</c:v>
                </c:pt>
                <c:pt idx="86">
                  <c:v>Mar-96</c:v>
                </c:pt>
                <c:pt idx="87">
                  <c:v>Apr-96</c:v>
                </c:pt>
                <c:pt idx="88">
                  <c:v> </c:v>
                </c:pt>
                <c:pt idx="89">
                  <c:v>Jun-96</c:v>
                </c:pt>
                <c:pt idx="90">
                  <c:v>Jul-96</c:v>
                </c:pt>
                <c:pt idx="91">
                  <c:v>Aug-96</c:v>
                </c:pt>
                <c:pt idx="92">
                  <c:v>Sep-96</c:v>
                </c:pt>
                <c:pt idx="93">
                  <c:v>Oct-96</c:v>
                </c:pt>
                <c:pt idx="94">
                  <c:v>Nov-96</c:v>
                </c:pt>
                <c:pt idx="95">
                  <c:v>Dec-96</c:v>
                </c:pt>
                <c:pt idx="96">
                  <c:v>Jan-97</c:v>
                </c:pt>
                <c:pt idx="97">
                  <c:v>Feb-97</c:v>
                </c:pt>
                <c:pt idx="98">
                  <c:v>Mar-97</c:v>
                </c:pt>
                <c:pt idx="99">
                  <c:v>Apr-97</c:v>
                </c:pt>
                <c:pt idx="100">
                  <c:v>May-97</c:v>
                </c:pt>
                <c:pt idx="101">
                  <c:v>Jun-97</c:v>
                </c:pt>
                <c:pt idx="102">
                  <c:v>Jul-97</c:v>
                </c:pt>
                <c:pt idx="103">
                  <c:v>Aug-97</c:v>
                </c:pt>
                <c:pt idx="104">
                  <c:v>Sep-97</c:v>
                </c:pt>
                <c:pt idx="105">
                  <c:v>Oct-97</c:v>
                </c:pt>
                <c:pt idx="106">
                  <c:v>Nov-97</c:v>
                </c:pt>
                <c:pt idx="107">
                  <c:v>Dec-97</c:v>
                </c:pt>
                <c:pt idx="108">
                  <c:v>Jan-98</c:v>
                </c:pt>
                <c:pt idx="109">
                  <c:v>Feb-98</c:v>
                </c:pt>
                <c:pt idx="110">
                  <c:v>Mar-98</c:v>
                </c:pt>
                <c:pt idx="111">
                  <c:v>Apr-98</c:v>
                </c:pt>
                <c:pt idx="112">
                  <c:v>May-98</c:v>
                </c:pt>
                <c:pt idx="113">
                  <c:v>Jun-98</c:v>
                </c:pt>
                <c:pt idx="114">
                  <c:v>Jul-98</c:v>
                </c:pt>
                <c:pt idx="115">
                  <c:v>Aug-98</c:v>
                </c:pt>
                <c:pt idx="116">
                  <c:v>Sep-98</c:v>
                </c:pt>
                <c:pt idx="117">
                  <c:v>Oct-98</c:v>
                </c:pt>
                <c:pt idx="118">
                  <c:v>Nov-98</c:v>
                </c:pt>
                <c:pt idx="119">
                  <c:v>Dec-98</c:v>
                </c:pt>
                <c:pt idx="120">
                  <c:v>Jan-99</c:v>
                </c:pt>
                <c:pt idx="121">
                  <c:v>Feb-99</c:v>
                </c:pt>
                <c:pt idx="122">
                  <c:v>Mar-99</c:v>
                </c:pt>
                <c:pt idx="123">
                  <c:v>Apr-99</c:v>
                </c:pt>
                <c:pt idx="124">
                  <c:v>May-99</c:v>
                </c:pt>
                <c:pt idx="125">
                  <c:v>Jun-99</c:v>
                </c:pt>
                <c:pt idx="126">
                  <c:v>Jul-99</c:v>
                </c:pt>
                <c:pt idx="127">
                  <c:v>Aug-99</c:v>
                </c:pt>
                <c:pt idx="128">
                  <c:v>Sep-99</c:v>
                </c:pt>
                <c:pt idx="129">
                  <c:v>Oct-99</c:v>
                </c:pt>
                <c:pt idx="130">
                  <c:v>Nov-99</c:v>
                </c:pt>
                <c:pt idx="131">
                  <c:v>Dec-99</c:v>
                </c:pt>
                <c:pt idx="132">
                  <c:v>Jan-00</c:v>
                </c:pt>
                <c:pt idx="133">
                  <c:v>Feb-00</c:v>
                </c:pt>
                <c:pt idx="134">
                  <c:v>Mar-00</c:v>
                </c:pt>
                <c:pt idx="135">
                  <c:v>Apr-00</c:v>
                </c:pt>
                <c:pt idx="136">
                  <c:v>May-00</c:v>
                </c:pt>
                <c:pt idx="137">
                  <c:v>Jun-00</c:v>
                </c:pt>
                <c:pt idx="138">
                  <c:v>Jul-00</c:v>
                </c:pt>
                <c:pt idx="139">
                  <c:v>Aug-00</c:v>
                </c:pt>
                <c:pt idx="140">
                  <c:v>Sep-00</c:v>
                </c:pt>
                <c:pt idx="141">
                  <c:v>Oct-00</c:v>
                </c:pt>
                <c:pt idx="142">
                  <c:v>Nov-00</c:v>
                </c:pt>
                <c:pt idx="143">
                  <c:v>Dec-00</c:v>
                </c:pt>
                <c:pt idx="144">
                  <c:v>Jan-01</c:v>
                </c:pt>
                <c:pt idx="145">
                  <c:v>Feb-01</c:v>
                </c:pt>
                <c:pt idx="146">
                  <c:v>Mar-01</c:v>
                </c:pt>
                <c:pt idx="147">
                  <c:v>Apr-01</c:v>
                </c:pt>
                <c:pt idx="148">
                  <c:v>May-01</c:v>
                </c:pt>
                <c:pt idx="149">
                  <c:v>Jun-01</c:v>
                </c:pt>
                <c:pt idx="150">
                  <c:v>Jul-01</c:v>
                </c:pt>
                <c:pt idx="151">
                  <c:v>Aug-01</c:v>
                </c:pt>
                <c:pt idx="152">
                  <c:v>Sep-01</c:v>
                </c:pt>
                <c:pt idx="153">
                  <c:v>Oct-01</c:v>
                </c:pt>
                <c:pt idx="154">
                  <c:v>Nov-01</c:v>
                </c:pt>
                <c:pt idx="155">
                  <c:v>Dec-01</c:v>
                </c:pt>
                <c:pt idx="156">
                  <c:v>Jan-02</c:v>
                </c:pt>
                <c:pt idx="157">
                  <c:v>Feb-02</c:v>
                </c:pt>
                <c:pt idx="158">
                  <c:v>Mar-02</c:v>
                </c:pt>
                <c:pt idx="159">
                  <c:v>Apr-02</c:v>
                </c:pt>
                <c:pt idx="160">
                  <c:v>May-02</c:v>
                </c:pt>
                <c:pt idx="161">
                  <c:v>Jun-02</c:v>
                </c:pt>
                <c:pt idx="162">
                  <c:v>Jul-02</c:v>
                </c:pt>
                <c:pt idx="163">
                  <c:v>Aug-02</c:v>
                </c:pt>
                <c:pt idx="164">
                  <c:v>Sep-02</c:v>
                </c:pt>
                <c:pt idx="165">
                  <c:v>Oct-02</c:v>
                </c:pt>
                <c:pt idx="166">
                  <c:v>Nov-02</c:v>
                </c:pt>
                <c:pt idx="167">
                  <c:v>Dec-02</c:v>
                </c:pt>
                <c:pt idx="168">
                  <c:v>Jan-03</c:v>
                </c:pt>
                <c:pt idx="169">
                  <c:v>Feb-03</c:v>
                </c:pt>
                <c:pt idx="170">
                  <c:v>Mar-03</c:v>
                </c:pt>
                <c:pt idx="171">
                  <c:v>Apr-03</c:v>
                </c:pt>
                <c:pt idx="172">
                  <c:v>May-03</c:v>
                </c:pt>
                <c:pt idx="173">
                  <c:v>Jun-03</c:v>
                </c:pt>
                <c:pt idx="174">
                  <c:v>Jul-03</c:v>
                </c:pt>
                <c:pt idx="175">
                  <c:v>Aug-03</c:v>
                </c:pt>
                <c:pt idx="176">
                  <c:v>Sep-03</c:v>
                </c:pt>
                <c:pt idx="177">
                  <c:v>Oct-03</c:v>
                </c:pt>
                <c:pt idx="178">
                  <c:v>Nov-03</c:v>
                </c:pt>
                <c:pt idx="179">
                  <c:v>Dec-03</c:v>
                </c:pt>
                <c:pt idx="180">
                  <c:v>Jan-04</c:v>
                </c:pt>
                <c:pt idx="181">
                  <c:v>Feb-04</c:v>
                </c:pt>
                <c:pt idx="182">
                  <c:v>Mar-04</c:v>
                </c:pt>
                <c:pt idx="183">
                  <c:v>Apr-04</c:v>
                </c:pt>
                <c:pt idx="184">
                  <c:v>May-04</c:v>
                </c:pt>
                <c:pt idx="185">
                  <c:v>Jun-04</c:v>
                </c:pt>
                <c:pt idx="186">
                  <c:v>Jul-04</c:v>
                </c:pt>
                <c:pt idx="187">
                  <c:v>Aug-04</c:v>
                </c:pt>
                <c:pt idx="188">
                  <c:v>Sep-04</c:v>
                </c:pt>
                <c:pt idx="189">
                  <c:v>Oct-04</c:v>
                </c:pt>
                <c:pt idx="190">
                  <c:v>Nov-04</c:v>
                </c:pt>
                <c:pt idx="191">
                  <c:v>Dec-04</c:v>
                </c:pt>
                <c:pt idx="192">
                  <c:v>Jan-05</c:v>
                </c:pt>
                <c:pt idx="193">
                  <c:v>Feb-05</c:v>
                </c:pt>
                <c:pt idx="194">
                  <c:v>Mar-05</c:v>
                </c:pt>
                <c:pt idx="195">
                  <c:v>Apr-05</c:v>
                </c:pt>
                <c:pt idx="196">
                  <c:v>May-05</c:v>
                </c:pt>
                <c:pt idx="197">
                  <c:v>Jun-05</c:v>
                </c:pt>
                <c:pt idx="198">
                  <c:v>Jul-05</c:v>
                </c:pt>
                <c:pt idx="199">
                  <c:v>Aug-05</c:v>
                </c:pt>
                <c:pt idx="200">
                  <c:v>Sep-05</c:v>
                </c:pt>
                <c:pt idx="201">
                  <c:v>Oct-05</c:v>
                </c:pt>
                <c:pt idx="202">
                  <c:v>Nov-05</c:v>
                </c:pt>
                <c:pt idx="203">
                  <c:v>Dec-05</c:v>
                </c:pt>
                <c:pt idx="204">
                  <c:v>Jan-06</c:v>
                </c:pt>
                <c:pt idx="205">
                  <c:v>Feb-06</c:v>
                </c:pt>
                <c:pt idx="206">
                  <c:v>Mar-06</c:v>
                </c:pt>
                <c:pt idx="207">
                  <c:v>Apr-06</c:v>
                </c:pt>
                <c:pt idx="208">
                  <c:v>May-06</c:v>
                </c:pt>
                <c:pt idx="209">
                  <c:v>Jun-06</c:v>
                </c:pt>
                <c:pt idx="210">
                  <c:v>Jul-06</c:v>
                </c:pt>
                <c:pt idx="211">
                  <c:v>Aug-06</c:v>
                </c:pt>
                <c:pt idx="212">
                  <c:v>Sep-06</c:v>
                </c:pt>
                <c:pt idx="213">
                  <c:v>Oct-06</c:v>
                </c:pt>
                <c:pt idx="214">
                  <c:v>Nov-06</c:v>
                </c:pt>
                <c:pt idx="215">
                  <c:v>Dec-06</c:v>
                </c:pt>
                <c:pt idx="216">
                  <c:v>Jan-07</c:v>
                </c:pt>
                <c:pt idx="217">
                  <c:v>Feb-07</c:v>
                </c:pt>
                <c:pt idx="218">
                  <c:v>Mar-07</c:v>
                </c:pt>
                <c:pt idx="219">
                  <c:v>Apr-07</c:v>
                </c:pt>
                <c:pt idx="220">
                  <c:v>May-07</c:v>
                </c:pt>
                <c:pt idx="221">
                  <c:v>Jun-07</c:v>
                </c:pt>
                <c:pt idx="222">
                  <c:v>Jul-07</c:v>
                </c:pt>
                <c:pt idx="223">
                  <c:v>Aug-07</c:v>
                </c:pt>
                <c:pt idx="224">
                  <c:v>Sep-07</c:v>
                </c:pt>
                <c:pt idx="225">
                  <c:v>Oct-07</c:v>
                </c:pt>
                <c:pt idx="226">
                  <c:v>Nov-07</c:v>
                </c:pt>
                <c:pt idx="227">
                  <c:v>Dec-07</c:v>
                </c:pt>
                <c:pt idx="228">
                  <c:v>Jan-08</c:v>
                </c:pt>
                <c:pt idx="229">
                  <c:v>Feb-08</c:v>
                </c:pt>
                <c:pt idx="230">
                  <c:v>Mar-08</c:v>
                </c:pt>
                <c:pt idx="231">
                  <c:v>Apr-08</c:v>
                </c:pt>
                <c:pt idx="232">
                  <c:v>May-08</c:v>
                </c:pt>
                <c:pt idx="233">
                  <c:v>Jun-08</c:v>
                </c:pt>
                <c:pt idx="234">
                  <c:v>Jul-08</c:v>
                </c:pt>
                <c:pt idx="235">
                  <c:v>Aug-08</c:v>
                </c:pt>
                <c:pt idx="236">
                  <c:v>Sep-08</c:v>
                </c:pt>
                <c:pt idx="237">
                  <c:v>Oct-08</c:v>
                </c:pt>
                <c:pt idx="238">
                  <c:v>Nov-08</c:v>
                </c:pt>
                <c:pt idx="239">
                  <c:v>Dec-08</c:v>
                </c:pt>
                <c:pt idx="240">
                  <c:v>Jan-09</c:v>
                </c:pt>
                <c:pt idx="241">
                  <c:v>Feb-09</c:v>
                </c:pt>
                <c:pt idx="242">
                  <c:v>Mar-09</c:v>
                </c:pt>
                <c:pt idx="243">
                  <c:v>Apr-09</c:v>
                </c:pt>
                <c:pt idx="244">
                  <c:v>May-09</c:v>
                </c:pt>
                <c:pt idx="245">
                  <c:v>Jun-09</c:v>
                </c:pt>
                <c:pt idx="246">
                  <c:v>Jul-09</c:v>
                </c:pt>
                <c:pt idx="247">
                  <c:v>Aug-09</c:v>
                </c:pt>
                <c:pt idx="248">
                  <c:v>Sep-09</c:v>
                </c:pt>
                <c:pt idx="249">
                  <c:v>Oct-09</c:v>
                </c:pt>
                <c:pt idx="250">
                  <c:v>Nov-09</c:v>
                </c:pt>
                <c:pt idx="251">
                  <c:v>Dec-09</c:v>
                </c:pt>
                <c:pt idx="252">
                  <c:v>Jan-10</c:v>
                </c:pt>
                <c:pt idx="253">
                  <c:v>Feb-10</c:v>
                </c:pt>
                <c:pt idx="254">
                  <c:v>Mar-10</c:v>
                </c:pt>
                <c:pt idx="255">
                  <c:v>Apr-10</c:v>
                </c:pt>
                <c:pt idx="256">
                  <c:v>May-10</c:v>
                </c:pt>
                <c:pt idx="257">
                  <c:v>Jun-10</c:v>
                </c:pt>
                <c:pt idx="258">
                  <c:v>Jul-10</c:v>
                </c:pt>
                <c:pt idx="259">
                  <c:v>Aug-10</c:v>
                </c:pt>
                <c:pt idx="260">
                  <c:v>Sep-10</c:v>
                </c:pt>
                <c:pt idx="261">
                  <c:v>Oct-10</c:v>
                </c:pt>
                <c:pt idx="262">
                  <c:v>Nov-10</c:v>
                </c:pt>
                <c:pt idx="263">
                  <c:v>Dec-10</c:v>
                </c:pt>
                <c:pt idx="264">
                  <c:v>Jan-11</c:v>
                </c:pt>
                <c:pt idx="265">
                  <c:v>Feb-11</c:v>
                </c:pt>
                <c:pt idx="266">
                  <c:v>Mar-11</c:v>
                </c:pt>
                <c:pt idx="267">
                  <c:v>Apr-11</c:v>
                </c:pt>
                <c:pt idx="268">
                  <c:v>May-11</c:v>
                </c:pt>
                <c:pt idx="269">
                  <c:v>Jun-11</c:v>
                </c:pt>
                <c:pt idx="270">
                  <c:v>Jul-11</c:v>
                </c:pt>
                <c:pt idx="271">
                  <c:v>Aug-11</c:v>
                </c:pt>
                <c:pt idx="272">
                  <c:v>Sep-11</c:v>
                </c:pt>
                <c:pt idx="273">
                  <c:v>Oct-11</c:v>
                </c:pt>
                <c:pt idx="274">
                  <c:v>Nov-11</c:v>
                </c:pt>
                <c:pt idx="275">
                  <c:v>Dec-11</c:v>
                </c:pt>
                <c:pt idx="276">
                  <c:v>Jan-12</c:v>
                </c:pt>
                <c:pt idx="277">
                  <c:v>Feb-12</c:v>
                </c:pt>
                <c:pt idx="278">
                  <c:v>Mar-12</c:v>
                </c:pt>
                <c:pt idx="279">
                  <c:v>Apr-12</c:v>
                </c:pt>
                <c:pt idx="280">
                  <c:v>May-12</c:v>
                </c:pt>
                <c:pt idx="281">
                  <c:v>Jun-12</c:v>
                </c:pt>
                <c:pt idx="282">
                  <c:v>Jul-12</c:v>
                </c:pt>
                <c:pt idx="283">
                  <c:v>Aug-12</c:v>
                </c:pt>
                <c:pt idx="284">
                  <c:v>Sep-12</c:v>
                </c:pt>
                <c:pt idx="285">
                  <c:v>Oct-12</c:v>
                </c:pt>
                <c:pt idx="286">
                  <c:v>Nov-12</c:v>
                </c:pt>
                <c:pt idx="287">
                  <c:v>Dec-12</c:v>
                </c:pt>
                <c:pt idx="288">
                  <c:v>Jan-13</c:v>
                </c:pt>
                <c:pt idx="289">
                  <c:v>Feb-13</c:v>
                </c:pt>
                <c:pt idx="290">
                  <c:v>Mar-13</c:v>
                </c:pt>
                <c:pt idx="291">
                  <c:v>Apr-13</c:v>
                </c:pt>
                <c:pt idx="292">
                  <c:v>May-13</c:v>
                </c:pt>
                <c:pt idx="293">
                  <c:v>Jun-13</c:v>
                </c:pt>
                <c:pt idx="294">
                  <c:v>Jul-13</c:v>
                </c:pt>
                <c:pt idx="295">
                  <c:v>Aug-13</c:v>
                </c:pt>
                <c:pt idx="296">
                  <c:v>Sep-13</c:v>
                </c:pt>
                <c:pt idx="297">
                  <c:v>Oct-13</c:v>
                </c:pt>
                <c:pt idx="298">
                  <c:v>Nov-13</c:v>
                </c:pt>
                <c:pt idx="299">
                  <c:v>Dec-13</c:v>
                </c:pt>
              </c:strCache>
            </c:strRef>
          </c:cat>
          <c:val>
            <c:numRef>
              <c:f>'Month S&amp;P'!$Y$15:$Y$275</c:f>
              <c:numCache>
                <c:formatCode>#,##0_);[Red]\(#,##0\)</c:formatCode>
                <c:ptCount val="261"/>
                <c:pt idx="0">
                  <c:v>1.0277651815E6</c:v>
                </c:pt>
                <c:pt idx="1">
                  <c:v>1.028051771176E6</c:v>
                </c:pt>
                <c:pt idx="2">
                  <c:v>1.037047427576E6</c:v>
                </c:pt>
                <c:pt idx="3">
                  <c:v>1.031324541676E6</c:v>
                </c:pt>
                <c:pt idx="4">
                  <c:v>1.101418326176E6</c:v>
                </c:pt>
                <c:pt idx="5">
                  <c:v>1.155217578176E6</c:v>
                </c:pt>
                <c:pt idx="6">
                  <c:v>1.157313814976E6</c:v>
                </c:pt>
                <c:pt idx="7">
                  <c:v>1.187809762576E6</c:v>
                </c:pt>
                <c:pt idx="8">
                  <c:v>1.232790470776E6</c:v>
                </c:pt>
                <c:pt idx="9">
                  <c:v>1.264872459976E6</c:v>
                </c:pt>
                <c:pt idx="10">
                  <c:v>1.335636395576E6</c:v>
                </c:pt>
                <c:pt idx="11">
                  <c:v>1.367899483276E6</c:v>
                </c:pt>
                <c:pt idx="12">
                  <c:v>1.421975322076E6</c:v>
                </c:pt>
                <c:pt idx="13">
                  <c:v>1.4390526992E6</c:v>
                </c:pt>
                <c:pt idx="14">
                  <c:v>1.5409515395E6</c:v>
                </c:pt>
                <c:pt idx="15">
                  <c:v>1.6372923022E6</c:v>
                </c:pt>
                <c:pt idx="16">
                  <c:v>1.6606280137E6</c:v>
                </c:pt>
                <c:pt idx="17">
                  <c:v>1.6963964405E6</c:v>
                </c:pt>
                <c:pt idx="18">
                  <c:v>1.7459546949E6</c:v>
                </c:pt>
                <c:pt idx="19">
                  <c:v>1.7906056132E6</c:v>
                </c:pt>
                <c:pt idx="20">
                  <c:v>1.8276885205E6</c:v>
                </c:pt>
                <c:pt idx="21">
                  <c:v>1.8509372354E6</c:v>
                </c:pt>
                <c:pt idx="22">
                  <c:v>1.8403335283E6</c:v>
                </c:pt>
                <c:pt idx="23">
                  <c:v>1.8659976986E6</c:v>
                </c:pt>
                <c:pt idx="24">
                  <c:v>1.8623079683E6</c:v>
                </c:pt>
                <c:pt idx="25">
                  <c:v>1.9232447541E6</c:v>
                </c:pt>
                <c:pt idx="26">
                  <c:v>1.9401889883E6</c:v>
                </c:pt>
                <c:pt idx="27">
                  <c:v>1.9638439184E6</c:v>
                </c:pt>
                <c:pt idx="28">
                  <c:v>2.0375352376E6</c:v>
                </c:pt>
                <c:pt idx="29">
                  <c:v>2.0258515249E6</c:v>
                </c:pt>
                <c:pt idx="30">
                  <c:v>2.0344115051E6</c:v>
                </c:pt>
                <c:pt idx="31">
                  <c:v>2.0513219458E6</c:v>
                </c:pt>
                <c:pt idx="32">
                  <c:v>2.1778096299E6</c:v>
                </c:pt>
                <c:pt idx="33">
                  <c:v>2.2820350227E6</c:v>
                </c:pt>
                <c:pt idx="34">
                  <c:v>2.4433582597E6</c:v>
                </c:pt>
                <c:pt idx="35">
                  <c:v>2.5619386114E6</c:v>
                </c:pt>
                <c:pt idx="36">
                  <c:v>2.6132549943E6</c:v>
                </c:pt>
                <c:pt idx="37">
                  <c:v>2.6281847893E6</c:v>
                </c:pt>
                <c:pt idx="38">
                  <c:v>2.6803061507E6</c:v>
                </c:pt>
                <c:pt idx="39">
                  <c:v>2.7238690916E6</c:v>
                </c:pt>
                <c:pt idx="40">
                  <c:v>2.7521812859E6</c:v>
                </c:pt>
                <c:pt idx="41">
                  <c:v>2.8622174277E6</c:v>
                </c:pt>
                <c:pt idx="42">
                  <c:v>2.9370927325E6</c:v>
                </c:pt>
                <c:pt idx="43">
                  <c:v>3.007060008E6</c:v>
                </c:pt>
                <c:pt idx="44">
                  <c:v>2.939233854E6</c:v>
                </c:pt>
                <c:pt idx="45">
                  <c:v>2.9017757522E6</c:v>
                </c:pt>
                <c:pt idx="46">
                  <c:v>2.8011465077E6</c:v>
                </c:pt>
                <c:pt idx="47">
                  <c:v>2.7775946911E6</c:v>
                </c:pt>
                <c:pt idx="48">
                  <c:v>2.8241761714E6</c:v>
                </c:pt>
                <c:pt idx="49">
                  <c:v>2.8512224092E6</c:v>
                </c:pt>
                <c:pt idx="50">
                  <c:v>2.8562049575E6</c:v>
                </c:pt>
                <c:pt idx="51">
                  <c:v>2.8702711986E6</c:v>
                </c:pt>
                <c:pt idx="52">
                  <c:v>2.882963023395E6</c:v>
                </c:pt>
                <c:pt idx="53">
                  <c:v>2.858316817295E6</c:v>
                </c:pt>
                <c:pt idx="54">
                  <c:v>2.823510448115E6</c:v>
                </c:pt>
                <c:pt idx="55">
                  <c:v>2.765946080315E6</c:v>
                </c:pt>
                <c:pt idx="56">
                  <c:v>2.743943357755E6</c:v>
                </c:pt>
                <c:pt idx="57">
                  <c:v>2.733011212495E6</c:v>
                </c:pt>
                <c:pt idx="58">
                  <c:v>2.756309248575E6</c:v>
                </c:pt>
                <c:pt idx="59">
                  <c:v>2.722849836315E6</c:v>
                </c:pt>
                <c:pt idx="60">
                  <c:v>2.647119952822E6</c:v>
                </c:pt>
                <c:pt idx="61">
                  <c:v>2.654388062973E6</c:v>
                </c:pt>
                <c:pt idx="62">
                  <c:v>2.678281419213E6</c:v>
                </c:pt>
                <c:pt idx="63">
                  <c:v>2.695226027741E6</c:v>
                </c:pt>
                <c:pt idx="64">
                  <c:v>2.66784043908E6</c:v>
                </c:pt>
                <c:pt idx="65">
                  <c:v>2.737819838648E6</c:v>
                </c:pt>
                <c:pt idx="66">
                  <c:v>2.770427687635E6</c:v>
                </c:pt>
                <c:pt idx="67">
                  <c:v>2.853709844755E6</c:v>
                </c:pt>
                <c:pt idx="68">
                  <c:v>2.933212190235E6</c:v>
                </c:pt>
                <c:pt idx="69">
                  <c:v>3.027255549495E6</c:v>
                </c:pt>
                <c:pt idx="70">
                  <c:v>3.148462851915E6</c:v>
                </c:pt>
                <c:pt idx="71">
                  <c:v>3.216001882475E6</c:v>
                </c:pt>
                <c:pt idx="72">
                  <c:v>3.24668351215204E6</c:v>
                </c:pt>
                <c:pt idx="73">
                  <c:v>3.2939794995484E6</c:v>
                </c:pt>
                <c:pt idx="74">
                  <c:v>3.30834244244872E6</c:v>
                </c:pt>
                <c:pt idx="75">
                  <c:v>3.28015279114356E6</c:v>
                </c:pt>
                <c:pt idx="76">
                  <c:v>3.28782891118936E6</c:v>
                </c:pt>
                <c:pt idx="77">
                  <c:v>3.22716690300668E6</c:v>
                </c:pt>
                <c:pt idx="78">
                  <c:v>3.2152831782606E6</c:v>
                </c:pt>
                <c:pt idx="79">
                  <c:v>3.19974201628312E6</c:v>
                </c:pt>
                <c:pt idx="80">
                  <c:v>3.1143716148898E6</c:v>
                </c:pt>
                <c:pt idx="81">
                  <c:v>3.01392008371692E6</c:v>
                </c:pt>
                <c:pt idx="82">
                  <c:v>2.9457999632838E6</c:v>
                </c:pt>
                <c:pt idx="83">
                  <c:v>2.85959869514328E6</c:v>
                </c:pt>
                <c:pt idx="84">
                  <c:v>2.86048301197764E6</c:v>
                </c:pt>
                <c:pt idx="85">
                  <c:v>2.855274553125E6</c:v>
                </c:pt>
                <c:pt idx="86">
                  <c:v>2.75333536830772E6</c:v>
                </c:pt>
                <c:pt idx="87">
                  <c:v>2.73877673844408E6</c:v>
                </c:pt>
                <c:pt idx="88">
                  <c:v>2.76255662040892E6</c:v>
                </c:pt>
                <c:pt idx="89">
                  <c:v>2.75336500683624E6</c:v>
                </c:pt>
                <c:pt idx="90">
                  <c:v>2.74942848187788E6</c:v>
                </c:pt>
                <c:pt idx="91">
                  <c:v>2.6740593761272E6</c:v>
                </c:pt>
                <c:pt idx="92">
                  <c:v>2.66380212435636E6</c:v>
                </c:pt>
                <c:pt idx="93">
                  <c:v>2.62580228744956E6</c:v>
                </c:pt>
                <c:pt idx="94">
                  <c:v>2.58799953187788E6</c:v>
                </c:pt>
                <c:pt idx="95">
                  <c:v>2.59063818166496E6</c:v>
                </c:pt>
                <c:pt idx="96">
                  <c:v>2.59446233730896E6</c:v>
                </c:pt>
                <c:pt idx="97">
                  <c:v>2.53925839377124E6</c:v>
                </c:pt>
                <c:pt idx="98">
                  <c:v>2.5382514169992E6</c:v>
                </c:pt>
                <c:pt idx="99">
                  <c:v>2.4792229794319E6</c:v>
                </c:pt>
                <c:pt idx="100">
                  <c:v>2.40575991646936E6</c:v>
                </c:pt>
                <c:pt idx="101">
                  <c:v>2.31141288625352E6</c:v>
                </c:pt>
                <c:pt idx="102">
                  <c:v>2.27875334600106E6</c:v>
                </c:pt>
                <c:pt idx="103">
                  <c:v>2.25345735539832E6</c:v>
                </c:pt>
                <c:pt idx="104">
                  <c:v>2.25900323184648E6</c:v>
                </c:pt>
                <c:pt idx="105">
                  <c:v>2.30151672333316E6</c:v>
                </c:pt>
                <c:pt idx="106">
                  <c:v>2.26468023234296E6</c:v>
                </c:pt>
                <c:pt idx="107">
                  <c:v>2.2711333622964E6</c:v>
                </c:pt>
                <c:pt idx="108">
                  <c:v>2.252966023834E6</c:v>
                </c:pt>
                <c:pt idx="109">
                  <c:v>2.217883121577E6</c:v>
                </c:pt>
                <c:pt idx="110">
                  <c:v>2.232351857126E6</c:v>
                </c:pt>
                <c:pt idx="111">
                  <c:v>2.2475936193341E6</c:v>
                </c:pt>
                <c:pt idx="112">
                  <c:v>2.213748486852E6</c:v>
                </c:pt>
                <c:pt idx="113">
                  <c:v>2.2305299410552E6</c:v>
                </c:pt>
                <c:pt idx="114">
                  <c:v>2.2032686558051E6</c:v>
                </c:pt>
                <c:pt idx="115">
                  <c:v>2.181161861916E6</c:v>
                </c:pt>
                <c:pt idx="116">
                  <c:v>2.111234812812E6</c:v>
                </c:pt>
                <c:pt idx="117">
                  <c:v>2.073388382105E6</c:v>
                </c:pt>
                <c:pt idx="118">
                  <c:v>2.0492627952E6</c:v>
                </c:pt>
                <c:pt idx="119">
                  <c:v>2.014688752E6</c:v>
                </c:pt>
                <c:pt idx="120">
                  <c:v>2.0126254422E6</c:v>
                </c:pt>
                <c:pt idx="121">
                  <c:v>1.9994581082E6</c:v>
                </c:pt>
                <c:pt idx="122">
                  <c:v>2.0172071476E6</c:v>
                </c:pt>
                <c:pt idx="123">
                  <c:v>2.0166723438E6</c:v>
                </c:pt>
                <c:pt idx="124">
                  <c:v>2.0423063599E6</c:v>
                </c:pt>
                <c:pt idx="125">
                  <c:v>2.0220172624E6</c:v>
                </c:pt>
                <c:pt idx="126">
                  <c:v>2.0244124417E6</c:v>
                </c:pt>
                <c:pt idx="127">
                  <c:v>2.0237582342E6</c:v>
                </c:pt>
                <c:pt idx="128">
                  <c:v>2.0645483751E6</c:v>
                </c:pt>
                <c:pt idx="129">
                  <c:v>2.0324039979E6</c:v>
                </c:pt>
                <c:pt idx="130">
                  <c:v>2.0400680171E6</c:v>
                </c:pt>
                <c:pt idx="131">
                  <c:v>2.0691073782E6</c:v>
                </c:pt>
                <c:pt idx="132">
                  <c:v>2.0645561736E6</c:v>
                </c:pt>
                <c:pt idx="133">
                  <c:v>2.091682476E6</c:v>
                </c:pt>
                <c:pt idx="134">
                  <c:v>2.0839900356E6</c:v>
                </c:pt>
                <c:pt idx="135">
                  <c:v>2.0730454474E6</c:v>
                </c:pt>
                <c:pt idx="136">
                  <c:v>2.1397397791E6</c:v>
                </c:pt>
                <c:pt idx="137">
                  <c:v>2.1976978845E6</c:v>
                </c:pt>
                <c:pt idx="138">
                  <c:v>2.2160524341E6</c:v>
                </c:pt>
                <c:pt idx="139">
                  <c:v>2.262694916E6</c:v>
                </c:pt>
                <c:pt idx="140">
                  <c:v>2.2947025595E6</c:v>
                </c:pt>
                <c:pt idx="141">
                  <c:v>2.3468873487E6</c:v>
                </c:pt>
                <c:pt idx="142">
                  <c:v>2.3311633198E6</c:v>
                </c:pt>
                <c:pt idx="143">
                  <c:v>2.3377466402E6</c:v>
                </c:pt>
                <c:pt idx="144">
                  <c:v>2.3432754301E6</c:v>
                </c:pt>
                <c:pt idx="145">
                  <c:v>2.3951881383E6</c:v>
                </c:pt>
                <c:pt idx="146">
                  <c:v>2.412673935E6</c:v>
                </c:pt>
                <c:pt idx="147">
                  <c:v>2.5354429477E6</c:v>
                </c:pt>
                <c:pt idx="148">
                  <c:v>2.5636483892E6</c:v>
                </c:pt>
                <c:pt idx="149">
                  <c:v>2.6168052181E6</c:v>
                </c:pt>
                <c:pt idx="150">
                  <c:v>2.6392650714E6</c:v>
                </c:pt>
                <c:pt idx="151">
                  <c:v>2.6727577226E6</c:v>
                </c:pt>
                <c:pt idx="152">
                  <c:v>2.6584970389E6</c:v>
                </c:pt>
                <c:pt idx="153">
                  <c:v>2.7744943541E6</c:v>
                </c:pt>
                <c:pt idx="154">
                  <c:v>2.8091794826E6</c:v>
                </c:pt>
                <c:pt idx="155">
                  <c:v>2.8144644394E6</c:v>
                </c:pt>
                <c:pt idx="156">
                  <c:v>2.8043052468E6</c:v>
                </c:pt>
                <c:pt idx="157">
                  <c:v>2.7751139016E6</c:v>
                </c:pt>
                <c:pt idx="158">
                  <c:v>2.8498862662E6</c:v>
                </c:pt>
                <c:pt idx="159">
                  <c:v>2.7885774053E6</c:v>
                </c:pt>
                <c:pt idx="160">
                  <c:v>2.7809704018E6</c:v>
                </c:pt>
                <c:pt idx="161">
                  <c:v>2.7327250682E6</c:v>
                </c:pt>
                <c:pt idx="162">
                  <c:v>2.6630522294E6</c:v>
                </c:pt>
                <c:pt idx="163">
                  <c:v>2.5644675783E6</c:v>
                </c:pt>
                <c:pt idx="164">
                  <c:v>2.5363513863E6</c:v>
                </c:pt>
                <c:pt idx="165">
                  <c:v>2.4051137225E6</c:v>
                </c:pt>
                <c:pt idx="166">
                  <c:v>2.4304150026E6</c:v>
                </c:pt>
                <c:pt idx="167">
                  <c:v>2.4020958763E6</c:v>
                </c:pt>
                <c:pt idx="168">
                  <c:v>2.370548171E6</c:v>
                </c:pt>
                <c:pt idx="169">
                  <c:v>2.3504079382E6</c:v>
                </c:pt>
                <c:pt idx="170">
                  <c:v>2.2298945983E6</c:v>
                </c:pt>
                <c:pt idx="171">
                  <c:v>2.2378430028E6</c:v>
                </c:pt>
                <c:pt idx="172">
                  <c:v>2.2049283071E6</c:v>
                </c:pt>
                <c:pt idx="173">
                  <c:v>2.2733111007E6</c:v>
                </c:pt>
                <c:pt idx="174">
                  <c:v>2.3708044817E6</c:v>
                </c:pt>
                <c:pt idx="175">
                  <c:v>2.4693605383E6</c:v>
                </c:pt>
                <c:pt idx="176">
                  <c:v>2.5135477058E6</c:v>
                </c:pt>
                <c:pt idx="177">
                  <c:v>2.5353053475E6</c:v>
                </c:pt>
                <c:pt idx="178">
                  <c:v>2.5256085193E6</c:v>
                </c:pt>
                <c:pt idx="179">
                  <c:v>2.5431775E6</c:v>
                </c:pt>
                <c:pt idx="180">
                  <c:v>2.6014828986E6</c:v>
                </c:pt>
                <c:pt idx="181">
                  <c:v>2.5932891013E6</c:v>
                </c:pt>
                <c:pt idx="182">
                  <c:v>2.6959662319E6</c:v>
                </c:pt>
                <c:pt idx="183">
                  <c:v>2.6680824352E6</c:v>
                </c:pt>
                <c:pt idx="184">
                  <c:v>2.6264606276E6</c:v>
                </c:pt>
                <c:pt idx="185">
                  <c:v>2.6158711311E6</c:v>
                </c:pt>
                <c:pt idx="186">
                  <c:v>2.5473434587E6</c:v>
                </c:pt>
                <c:pt idx="187">
                  <c:v>2.4882289224E6</c:v>
                </c:pt>
                <c:pt idx="188">
                  <c:v>2.5012520708E6</c:v>
                </c:pt>
                <c:pt idx="189">
                  <c:v>2.521282778E6</c:v>
                </c:pt>
                <c:pt idx="190">
                  <c:v>2.458395674E6</c:v>
                </c:pt>
                <c:pt idx="191">
                  <c:v>2.4278486029E6</c:v>
                </c:pt>
                <c:pt idx="192">
                  <c:v>2.3681405141E6</c:v>
                </c:pt>
                <c:pt idx="193">
                  <c:v>2.3510924732E6</c:v>
                </c:pt>
                <c:pt idx="194">
                  <c:v>2.3471096926E6</c:v>
                </c:pt>
                <c:pt idx="195">
                  <c:v>2.3947427573E6</c:v>
                </c:pt>
                <c:pt idx="196">
                  <c:v>2.5049114736E6</c:v>
                </c:pt>
                <c:pt idx="197">
                  <c:v>2.5009978397E6</c:v>
                </c:pt>
                <c:pt idx="198">
                  <c:v>2.5019102642E6</c:v>
                </c:pt>
                <c:pt idx="199">
                  <c:v>2.5356387767E6</c:v>
                </c:pt>
                <c:pt idx="200">
                  <c:v>2.5215935049E6</c:v>
                </c:pt>
                <c:pt idx="201">
                  <c:v>2.4863477509E6</c:v>
                </c:pt>
                <c:pt idx="202">
                  <c:v>2.5359692598E6</c:v>
                </c:pt>
                <c:pt idx="203">
                  <c:v>2.5849109128E6</c:v>
                </c:pt>
                <c:pt idx="204">
                  <c:v>2.6367666053E6</c:v>
                </c:pt>
                <c:pt idx="205">
                  <c:v>2.7313156193E6</c:v>
                </c:pt>
                <c:pt idx="206">
                  <c:v>2.7158863737E6</c:v>
                </c:pt>
                <c:pt idx="207">
                  <c:v>2.7018930919E6</c:v>
                </c:pt>
                <c:pt idx="208">
                  <c:v>2.6946619761E6</c:v>
                </c:pt>
                <c:pt idx="209">
                  <c:v>2.6888404825E6</c:v>
                </c:pt>
                <c:pt idx="210">
                  <c:v>2.7408928705E6</c:v>
                </c:pt>
                <c:pt idx="211">
                  <c:v>2.7817672352E6</c:v>
                </c:pt>
                <c:pt idx="212">
                  <c:v>2.7909178218E6</c:v>
                </c:pt>
                <c:pt idx="213">
                  <c:v>2.8613587262E6</c:v>
                </c:pt>
                <c:pt idx="214">
                  <c:v>2.9379852275E6</c:v>
                </c:pt>
                <c:pt idx="215">
                  <c:v>2.9533695884E6</c:v>
                </c:pt>
                <c:pt idx="216">
                  <c:v>2.9570567192E6</c:v>
                </c:pt>
                <c:pt idx="217">
                  <c:v>2.9007869024E6</c:v>
                </c:pt>
                <c:pt idx="218">
                  <c:v>2.8917059824E6</c:v>
                </c:pt>
                <c:pt idx="219">
                  <c:v>2.9548509568E6</c:v>
                </c:pt>
                <c:pt idx="220">
                  <c:v>2.9653799716E6</c:v>
                </c:pt>
                <c:pt idx="221">
                  <c:v>3.0927578978E6</c:v>
                </c:pt>
                <c:pt idx="222">
                  <c:v>3.1810438498E6</c:v>
                </c:pt>
                <c:pt idx="223">
                  <c:v>3.2385586538E6</c:v>
                </c:pt>
                <c:pt idx="224">
                  <c:v>3.3182095867E6</c:v>
                </c:pt>
                <c:pt idx="225">
                  <c:v>3.3832359059E6</c:v>
                </c:pt>
                <c:pt idx="226">
                  <c:v>3.3893312135E6</c:v>
                </c:pt>
                <c:pt idx="227">
                  <c:v>3.535654469E6</c:v>
                </c:pt>
                <c:pt idx="228">
                  <c:v>3.6104994463E6</c:v>
                </c:pt>
                <c:pt idx="229">
                  <c:v>3.7214748741E6</c:v>
                </c:pt>
                <c:pt idx="230">
                  <c:v>3.7638423916E6</c:v>
                </c:pt>
                <c:pt idx="231">
                  <c:v>3.8463893408E6</c:v>
                </c:pt>
                <c:pt idx="232">
                  <c:v>3.9733577591E6</c:v>
                </c:pt>
                <c:pt idx="233">
                  <c:v>4.0805906001E6</c:v>
                </c:pt>
                <c:pt idx="234">
                  <c:v>4.2170906917E6</c:v>
                </c:pt>
                <c:pt idx="235">
                  <c:v>4.3303159001E6</c:v>
                </c:pt>
                <c:pt idx="236">
                  <c:v>4.4482312997E6</c:v>
                </c:pt>
                <c:pt idx="237">
                  <c:v>4.5846112944E6</c:v>
                </c:pt>
                <c:pt idx="238">
                  <c:v>4.6426472115E6</c:v>
                </c:pt>
                <c:pt idx="239">
                  <c:v>4.6719413236E6</c:v>
                </c:pt>
                <c:pt idx="240">
                  <c:v>4.657409772E6</c:v>
                </c:pt>
                <c:pt idx="241">
                  <c:v>4.6677341195E6</c:v>
                </c:pt>
                <c:pt idx="242">
                  <c:v>4.7124534913E6</c:v>
                </c:pt>
                <c:pt idx="243">
                  <c:v>4.6329859098E6</c:v>
                </c:pt>
                <c:pt idx="244">
                  <c:v>4.4857609744E6</c:v>
                </c:pt>
                <c:pt idx="245">
                  <c:v>4.3076111739E6</c:v>
                </c:pt>
                <c:pt idx="246">
                  <c:v>4.1778136331E6</c:v>
                </c:pt>
                <c:pt idx="247">
                  <c:v>4.1175932695E6</c:v>
                </c:pt>
                <c:pt idx="248">
                  <c:v>4.0028343561E6</c:v>
                </c:pt>
                <c:pt idx="249">
                  <c:v>3.8387504501E6</c:v>
                </c:pt>
                <c:pt idx="250">
                  <c:v>3.7676925977E6</c:v>
                </c:pt>
                <c:pt idx="251">
                  <c:v>3.6512599529E6</c:v>
                </c:pt>
                <c:pt idx="252">
                  <c:v>3.6005898057E6</c:v>
                </c:pt>
                <c:pt idx="253">
                  <c:v>3.5277701855E6</c:v>
                </c:pt>
                <c:pt idx="254">
                  <c:v>3.4424506096E6</c:v>
                </c:pt>
                <c:pt idx="255">
                  <c:v>3.571451317E6</c:v>
                </c:pt>
                <c:pt idx="256">
                  <c:v>3.7319829196E6</c:v>
                </c:pt>
                <c:pt idx="257">
                  <c:v>3.8526295272E6</c:v>
                </c:pt>
                <c:pt idx="258">
                  <c:v>3.8848891489E6</c:v>
                </c:pt>
                <c:pt idx="259">
                  <c:v>3.8793090622E6</c:v>
                </c:pt>
                <c:pt idx="260">
                  <c:v>3.9341106814E6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8679992"/>
        <c:axId val="-2048676824"/>
      </c:lineChart>
      <c:catAx>
        <c:axId val="-2048689144"/>
        <c:scaling>
          <c:orientation val="minMax"/>
        </c:scaling>
        <c:delete val="0"/>
        <c:axPos val="b"/>
        <c:numFmt formatCode="mmm\-yy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6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8686104"/>
        <c:crosses val="autoZero"/>
        <c:auto val="0"/>
        <c:lblAlgn val="ctr"/>
        <c:lblOffset val="100"/>
        <c:tickLblSkip val="12"/>
        <c:tickMarkSkip val="1"/>
        <c:noMultiLvlLbl val="0"/>
      </c:catAx>
      <c:valAx>
        <c:axId val="-2048686104"/>
        <c:scaling>
          <c:orientation val="minMax"/>
          <c:min val="-1.0E6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17.33% of Sales</a:t>
                </a:r>
              </a:p>
            </c:rich>
          </c:tx>
          <c:layout>
            <c:manualLayout>
              <c:xMode val="edge"/>
              <c:yMode val="edge"/>
              <c:x val="0.00740740740740741"/>
              <c:y val="0.455337690631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8689144"/>
        <c:crosses val="autoZero"/>
        <c:crossBetween val="between"/>
      </c:valAx>
      <c:catAx>
        <c:axId val="-204867999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8676824"/>
        <c:crosses val="autoZero"/>
        <c:auto val="0"/>
        <c:lblAlgn val="ctr"/>
        <c:lblOffset val="100"/>
        <c:noMultiLvlLbl val="0"/>
      </c:catAx>
      <c:valAx>
        <c:axId val="-2048676824"/>
        <c:scaling>
          <c:orientation val="minMax"/>
          <c:min val="-1.0E6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965925925925926"/>
              <c:y val="0.51198257080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8679992"/>
        <c:crosses val="max"/>
        <c:crossBetween val="between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8080FF" mc:Ignorable="a14" a14:legacySpreadsheetColorIndex="24"/>
            </a:gs>
          </a:gsLst>
          <a:lin ang="5400000" scaled="1"/>
        </a:gradFill>
        <a:ln w="12700">
          <a:solidFill>
            <a:srgbClr val="00641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925925925926"/>
          <c:y val="0.187363834422658"/>
          <c:w val="0.271111111111111"/>
          <c:h val="0.05882352941176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Houston</a:t>
            </a:r>
          </a:p>
        </c:rich>
      </c:tx>
      <c:layout>
        <c:manualLayout>
          <c:xMode val="edge"/>
          <c:yMode val="edge"/>
          <c:x val="0.432239657631954"/>
          <c:y val="0.031523649471281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710413694722"/>
          <c:y val="0.113835400868517"/>
          <c:w val="0.689015691868759"/>
          <c:h val="0.852889849584116"/>
        </c:manualLayout>
      </c:layout>
      <c:scatterChart>
        <c:scatterStyle val="lineMarker"/>
        <c:varyColors val="0"/>
        <c:ser>
          <c:idx val="3"/>
          <c:order val="0"/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6411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Team'!$L$2:$L$19</c:f>
              <c:numCache>
                <c:formatCode>"$"#,##0_);[Red]\("$"#,##0\)</c:formatCode>
                <c:ptCount val="18"/>
                <c:pt idx="0">
                  <c:v>10531.0</c:v>
                </c:pt>
                <c:pt idx="1">
                  <c:v>-80.0</c:v>
                </c:pt>
                <c:pt idx="2">
                  <c:v>26303.0</c:v>
                </c:pt>
                <c:pt idx="3">
                  <c:v>22269.0</c:v>
                </c:pt>
                <c:pt idx="4">
                  <c:v>34096.0</c:v>
                </c:pt>
                <c:pt idx="5">
                  <c:v>18581.0</c:v>
                </c:pt>
                <c:pt idx="6">
                  <c:v>28172.0</c:v>
                </c:pt>
                <c:pt idx="7">
                  <c:v>40202.0</c:v>
                </c:pt>
                <c:pt idx="8">
                  <c:v>11200.0</c:v>
                </c:pt>
                <c:pt idx="9">
                  <c:v>13913.0</c:v>
                </c:pt>
                <c:pt idx="10">
                  <c:v>23500.0</c:v>
                </c:pt>
                <c:pt idx="11">
                  <c:v>44654.0</c:v>
                </c:pt>
                <c:pt idx="12">
                  <c:v>37891.0</c:v>
                </c:pt>
                <c:pt idx="13">
                  <c:v>31119.0</c:v>
                </c:pt>
                <c:pt idx="14">
                  <c:v>46745.0</c:v>
                </c:pt>
                <c:pt idx="15">
                  <c:v>91751.0</c:v>
                </c:pt>
                <c:pt idx="16">
                  <c:v>29645.0</c:v>
                </c:pt>
                <c:pt idx="17">
                  <c:v>29798.0</c:v>
                </c:pt>
              </c:numCache>
            </c:numRef>
          </c:xVal>
          <c:yVal>
            <c:numRef>
              <c:f>'By Team'!$M$2:$M$19</c:f>
              <c:numCache>
                <c:formatCode>"$"#,##0_);[Red]\("$"#,##0\)</c:formatCode>
                <c:ptCount val="18"/>
                <c:pt idx="0">
                  <c:v>-19735.0</c:v>
                </c:pt>
                <c:pt idx="1">
                  <c:v>-26129.0</c:v>
                </c:pt>
                <c:pt idx="2">
                  <c:v>-7207.0</c:v>
                </c:pt>
                <c:pt idx="3">
                  <c:v>-17644.0</c:v>
                </c:pt>
                <c:pt idx="4">
                  <c:v>-15160.0</c:v>
                </c:pt>
                <c:pt idx="5">
                  <c:v>-16495.0</c:v>
                </c:pt>
                <c:pt idx="6">
                  <c:v>-21958.0</c:v>
                </c:pt>
                <c:pt idx="7">
                  <c:v>-10091.0</c:v>
                </c:pt>
                <c:pt idx="8">
                  <c:v>-33269.0</c:v>
                </c:pt>
                <c:pt idx="9">
                  <c:v>-23583.0</c:v>
                </c:pt>
                <c:pt idx="10">
                  <c:v>-10045.0</c:v>
                </c:pt>
                <c:pt idx="11">
                  <c:v>-7540.0</c:v>
                </c:pt>
                <c:pt idx="12">
                  <c:v>-15422.0</c:v>
                </c:pt>
                <c:pt idx="13">
                  <c:v>-21717.0</c:v>
                </c:pt>
                <c:pt idx="14">
                  <c:v>-15660.0</c:v>
                </c:pt>
                <c:pt idx="15">
                  <c:v>-7844.0</c:v>
                </c:pt>
                <c:pt idx="16">
                  <c:v>-11295.0</c:v>
                </c:pt>
                <c:pt idx="17">
                  <c:v>-19813.0</c:v>
                </c:pt>
              </c:numCache>
            </c:numRef>
          </c:yVal>
          <c:smooth val="0"/>
        </c:ser>
        <c:ser>
          <c:idx val="0"/>
          <c:order val="1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Team'!$L$26:$L$31</c:f>
              <c:numCache>
                <c:formatCode>General_)</c:formatCode>
                <c:ptCount val="6"/>
                <c:pt idx="0">
                  <c:v>84234.0</c:v>
                </c:pt>
                <c:pt idx="1">
                  <c:v>65026.0</c:v>
                </c:pt>
                <c:pt idx="2">
                  <c:v>83879.0</c:v>
                </c:pt>
                <c:pt idx="3">
                  <c:v>62723.0</c:v>
                </c:pt>
                <c:pt idx="4">
                  <c:v>191428.0</c:v>
                </c:pt>
                <c:pt idx="5">
                  <c:v>106641.0</c:v>
                </c:pt>
              </c:numCache>
            </c:numRef>
          </c:xVal>
          <c:yVal>
            <c:numRef>
              <c:f>'By Team'!$M$26:$M$31</c:f>
              <c:numCache>
                <c:formatCode>General_)</c:formatCode>
                <c:ptCount val="6"/>
                <c:pt idx="0">
                  <c:v>47673.0</c:v>
                </c:pt>
                <c:pt idx="1">
                  <c:v>16410.0</c:v>
                </c:pt>
                <c:pt idx="2">
                  <c:v>20623.0</c:v>
                </c:pt>
                <c:pt idx="3">
                  <c:v>19196.0</c:v>
                </c:pt>
                <c:pt idx="4">
                  <c:v>101417.0</c:v>
                </c:pt>
                <c:pt idx="5">
                  <c:v>39818.0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640360"/>
        <c:axId val="-2137636920"/>
      </c:scatterChart>
      <c:valAx>
        <c:axId val="-2137640360"/>
        <c:scaling>
          <c:orientation val="minMax"/>
          <c:max val="200000.0"/>
          <c:min val="0.0"/>
        </c:scaling>
        <c:delete val="0"/>
        <c:axPos val="b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37636920"/>
        <c:crosses val="autoZero"/>
        <c:crossBetween val="midCat"/>
      </c:valAx>
      <c:valAx>
        <c:axId val="-2137636920"/>
        <c:scaling>
          <c:orientation val="minMax"/>
          <c:max val="110000.0"/>
        </c:scaling>
        <c:delete val="0"/>
        <c:axPos val="l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37640360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654778887304"/>
          <c:y val="0.453590289614551"/>
          <c:w val="0.148359486447932"/>
          <c:h val="0.09982488999239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Palatine ES</a:t>
            </a:r>
          </a:p>
        </c:rich>
      </c:tx>
      <c:layout>
        <c:manualLayout>
          <c:xMode val="edge"/>
          <c:yMode val="edge"/>
          <c:x val="0.456774481334729"/>
          <c:y val="0.026833654923739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80645779136705"/>
          <c:y val="0.114490261007957"/>
          <c:w val="0.713548836661313"/>
          <c:h val="0.85152131624667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Team'!$L$61:$L$67</c:f>
              <c:numCache>
                <c:formatCode>"$"#,##0_);[Red]\("$"#,##0\)</c:formatCode>
                <c:ptCount val="7"/>
                <c:pt idx="0">
                  <c:v>216952.0</c:v>
                </c:pt>
                <c:pt idx="1">
                  <c:v>125183.0</c:v>
                </c:pt>
                <c:pt idx="2">
                  <c:v>266531.0</c:v>
                </c:pt>
                <c:pt idx="3">
                  <c:v>131826.0</c:v>
                </c:pt>
                <c:pt idx="4">
                  <c:v>135269.0</c:v>
                </c:pt>
                <c:pt idx="5">
                  <c:v>243820.0</c:v>
                </c:pt>
                <c:pt idx="6">
                  <c:v>154223.0</c:v>
                </c:pt>
              </c:numCache>
            </c:numRef>
          </c:xVal>
          <c:yVal>
            <c:numRef>
              <c:f>'By Team'!$M$61:$M$67</c:f>
              <c:numCache>
                <c:formatCode>"$"#,##0_);[Red]\("$"#,##0\)</c:formatCode>
                <c:ptCount val="7"/>
                <c:pt idx="0">
                  <c:v>-6501.0</c:v>
                </c:pt>
                <c:pt idx="1">
                  <c:v>-48398.0</c:v>
                </c:pt>
                <c:pt idx="2">
                  <c:v>26849.0</c:v>
                </c:pt>
                <c:pt idx="3">
                  <c:v>-74919.0</c:v>
                </c:pt>
                <c:pt idx="4">
                  <c:v>2188.0</c:v>
                </c:pt>
                <c:pt idx="5">
                  <c:v>52583.0</c:v>
                </c:pt>
                <c:pt idx="6">
                  <c:v>-14322.0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Team'!$L$61:$L$67</c:f>
              <c:numCache>
                <c:formatCode>"$"#,##0_);[Red]\("$"#,##0\)</c:formatCode>
                <c:ptCount val="7"/>
                <c:pt idx="0">
                  <c:v>216952.0</c:v>
                </c:pt>
                <c:pt idx="1">
                  <c:v>125183.0</c:v>
                </c:pt>
                <c:pt idx="2">
                  <c:v>266531.0</c:v>
                </c:pt>
                <c:pt idx="3">
                  <c:v>131826.0</c:v>
                </c:pt>
                <c:pt idx="4">
                  <c:v>135269.0</c:v>
                </c:pt>
                <c:pt idx="5">
                  <c:v>243820.0</c:v>
                </c:pt>
                <c:pt idx="6">
                  <c:v>154223.0</c:v>
                </c:pt>
              </c:numCache>
            </c:numRef>
          </c:xVal>
          <c:yVal>
            <c:numRef>
              <c:f>'By Team'!$R$61:$R$67</c:f>
              <c:numCache>
                <c:formatCode>"$"#,##0_);[Red]\("$"#,##0\)</c:formatCode>
                <c:ptCount val="7"/>
                <c:pt idx="0">
                  <c:v>88950.32</c:v>
                </c:pt>
                <c:pt idx="1">
                  <c:v>51325.03</c:v>
                </c:pt>
                <c:pt idx="2">
                  <c:v>109277.71</c:v>
                </c:pt>
                <c:pt idx="3">
                  <c:v>54048.66</c:v>
                </c:pt>
                <c:pt idx="4">
                  <c:v>55460.29</c:v>
                </c:pt>
                <c:pt idx="5">
                  <c:v>99966.2</c:v>
                </c:pt>
                <c:pt idx="6">
                  <c:v>63231.43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Team'!$L$61:$L$67</c:f>
              <c:numCache>
                <c:formatCode>"$"#,##0_);[Red]\("$"#,##0\)</c:formatCode>
                <c:ptCount val="7"/>
                <c:pt idx="0">
                  <c:v>216952.0</c:v>
                </c:pt>
                <c:pt idx="1">
                  <c:v>125183.0</c:v>
                </c:pt>
                <c:pt idx="2">
                  <c:v>266531.0</c:v>
                </c:pt>
                <c:pt idx="3">
                  <c:v>131826.0</c:v>
                </c:pt>
                <c:pt idx="4">
                  <c:v>135269.0</c:v>
                </c:pt>
                <c:pt idx="5">
                  <c:v>243820.0</c:v>
                </c:pt>
                <c:pt idx="6">
                  <c:v>154223.0</c:v>
                </c:pt>
              </c:numCache>
            </c:numRef>
          </c:xVal>
          <c:yVal>
            <c:numRef>
              <c:f>'By Team'!$W$61:$W$67</c:f>
              <c:numCache>
                <c:formatCode>"$"#,##0_);[Red]\("$"#,##0\)</c:formatCode>
                <c:ptCount val="7"/>
                <c:pt idx="0">
                  <c:v>80279.8</c:v>
                </c:pt>
                <c:pt idx="1">
                  <c:v>1675.200000000004</c:v>
                </c:pt>
                <c:pt idx="2">
                  <c:v>133461.4</c:v>
                </c:pt>
                <c:pt idx="3">
                  <c:v>-22188.6</c:v>
                </c:pt>
                <c:pt idx="4">
                  <c:v>56295.60000000001</c:v>
                </c:pt>
                <c:pt idx="5">
                  <c:v>150111.0</c:v>
                </c:pt>
                <c:pt idx="6">
                  <c:v>47367.2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258440"/>
        <c:axId val="-2141559512"/>
      </c:scatterChart>
      <c:valAx>
        <c:axId val="-2141258440"/>
        <c:scaling>
          <c:orientation val="minMax"/>
          <c:max val="500000.0"/>
        </c:scaling>
        <c:delete val="0"/>
        <c:axPos val="b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559512"/>
        <c:crosses val="autoZero"/>
        <c:crossBetween val="midCat"/>
      </c:valAx>
      <c:valAx>
        <c:axId val="-2141559512"/>
        <c:scaling>
          <c:orientation val="minMax"/>
          <c:max val="250000.0"/>
          <c:min val="-100000.0"/>
        </c:scaling>
        <c:delete val="0"/>
        <c:axPos val="l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258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6774733351016"/>
          <c:y val="0.465116685344824"/>
          <c:w val="0.134193632934497"/>
          <c:h val="0.1520573779011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CAE  Express</a:t>
            </a:r>
          </a:p>
        </c:rich>
      </c:tx>
      <c:layout>
        <c:manualLayout>
          <c:xMode val="edge"/>
          <c:yMode val="edge"/>
          <c:x val="0.449164013689488"/>
          <c:y val="0.02803738957482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996313691876"/>
          <c:y val="0.110280398994323"/>
          <c:w val="0.638353440658986"/>
          <c:h val="0.800000182535088"/>
        </c:manualLayout>
      </c:layout>
      <c:scatterChart>
        <c:scatterStyle val="lineMarker"/>
        <c:varyColors val="0"/>
        <c:ser>
          <c:idx val="1"/>
          <c:order val="0"/>
          <c:tx>
            <c:v>10% Profit after tax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('By Team'!$L$92:$L$100,'By Team'!$L$116:$L$123)</c:f>
              <c:numCache>
                <c:formatCode>General_)</c:formatCode>
                <c:ptCount val="17"/>
                <c:pt idx="0" formatCode="&quot;$&quot;#,##0_);[Red]\(&quot;$&quot;#,##0\)">
                  <c:v>55397.0</c:v>
                </c:pt>
                <c:pt idx="1">
                  <c:v>132312.0</c:v>
                </c:pt>
                <c:pt idx="2">
                  <c:v>116703.0</c:v>
                </c:pt>
                <c:pt idx="3">
                  <c:v>95693.0</c:v>
                </c:pt>
                <c:pt idx="4">
                  <c:v>83345.0</c:v>
                </c:pt>
                <c:pt idx="5">
                  <c:v>72726.0</c:v>
                </c:pt>
                <c:pt idx="6">
                  <c:v>195267.0</c:v>
                </c:pt>
                <c:pt idx="7">
                  <c:v>109989.0</c:v>
                </c:pt>
                <c:pt idx="8">
                  <c:v>75159.0</c:v>
                </c:pt>
                <c:pt idx="9" formatCode="&quot;$&quot;#,##0_);[Red]\(&quot;$&quot;#,##0\)">
                  <c:v>63936.0</c:v>
                </c:pt>
                <c:pt idx="10" formatCode="&quot;$&quot;#,##0_);[Red]\(&quot;$&quot;#,##0\)">
                  <c:v>84687.0</c:v>
                </c:pt>
                <c:pt idx="11" formatCode="&quot;$&quot;#,##0_);[Red]\(&quot;$&quot;#,##0\)">
                  <c:v>69718.0</c:v>
                </c:pt>
                <c:pt idx="12" formatCode="&quot;$&quot;#,##0_);[Red]\(&quot;$&quot;#,##0\)">
                  <c:v>105680.0</c:v>
                </c:pt>
                <c:pt idx="13" formatCode="&quot;$&quot;#,##0_);[Red]\(&quot;$&quot;#,##0\)">
                  <c:v>98629.0</c:v>
                </c:pt>
                <c:pt idx="14" formatCode="&quot;$&quot;#,##0_);[Red]\(&quot;$&quot;#,##0\)">
                  <c:v>99749.0</c:v>
                </c:pt>
                <c:pt idx="15" formatCode="&quot;$&quot;#,##0_);[Red]\(&quot;$&quot;#,##0\)">
                  <c:v>95373.0</c:v>
                </c:pt>
                <c:pt idx="16" formatCode="&quot;$&quot;#,##0_);[Red]\(&quot;$&quot;#,##0\)">
                  <c:v>98021.0</c:v>
                </c:pt>
              </c:numCache>
            </c:numRef>
          </c:xVal>
          <c:yVal>
            <c:numRef>
              <c:f>'By Team'!$U$92:$U$100</c:f>
              <c:numCache>
                <c:formatCode>"$"#,##0.00_);[Red]\("$"#,##0.00\)</c:formatCode>
                <c:ptCount val="9"/>
                <c:pt idx="0">
                  <c:v>13849.25</c:v>
                </c:pt>
                <c:pt idx="1">
                  <c:v>33078.0</c:v>
                </c:pt>
                <c:pt idx="2">
                  <c:v>29175.75</c:v>
                </c:pt>
                <c:pt idx="3">
                  <c:v>23923.25</c:v>
                </c:pt>
                <c:pt idx="4">
                  <c:v>20836.25</c:v>
                </c:pt>
                <c:pt idx="5">
                  <c:v>18181.5</c:v>
                </c:pt>
                <c:pt idx="6">
                  <c:v>48816.75</c:v>
                </c:pt>
                <c:pt idx="7">
                  <c:v>27497.25</c:v>
                </c:pt>
                <c:pt idx="8">
                  <c:v>18789.75</c:v>
                </c:pt>
              </c:numCache>
            </c:numRef>
          </c:yVal>
          <c:smooth val="0"/>
        </c:ser>
        <c:ser>
          <c:idx val="0"/>
          <c:order val="1"/>
          <c:tx>
            <c:v>1999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Team'!$L$104:$L$115</c:f>
              <c:numCache>
                <c:formatCode>"$"#,##0_);[Red]\("$"#,##0\)</c:formatCode>
                <c:ptCount val="12"/>
                <c:pt idx="0">
                  <c:v>94787.0</c:v>
                </c:pt>
                <c:pt idx="1">
                  <c:v>98803.0</c:v>
                </c:pt>
                <c:pt idx="2">
                  <c:v>88380.0</c:v>
                </c:pt>
                <c:pt idx="3">
                  <c:v>104262.0</c:v>
                </c:pt>
                <c:pt idx="4">
                  <c:v>70538.0</c:v>
                </c:pt>
                <c:pt idx="5">
                  <c:v>85240.0</c:v>
                </c:pt>
                <c:pt idx="6">
                  <c:v>56451.0</c:v>
                </c:pt>
                <c:pt idx="7">
                  <c:v>117318.0</c:v>
                </c:pt>
                <c:pt idx="8">
                  <c:v>109351.0</c:v>
                </c:pt>
                <c:pt idx="9">
                  <c:v>66507.0</c:v>
                </c:pt>
                <c:pt idx="10">
                  <c:v>102341.0</c:v>
                </c:pt>
                <c:pt idx="11">
                  <c:v>92455.0</c:v>
                </c:pt>
              </c:numCache>
            </c:numRef>
          </c:xVal>
          <c:yVal>
            <c:numRef>
              <c:f>'By Team'!$N$104:$N$115</c:f>
              <c:numCache>
                <c:formatCode>"$"#,##0_);[Red]\("$"#,##0\)</c:formatCode>
                <c:ptCount val="12"/>
                <c:pt idx="0">
                  <c:v>5502.0</c:v>
                </c:pt>
                <c:pt idx="1">
                  <c:v>3225.0</c:v>
                </c:pt>
                <c:pt idx="2">
                  <c:v>3468.0</c:v>
                </c:pt>
                <c:pt idx="3">
                  <c:v>18882.0</c:v>
                </c:pt>
                <c:pt idx="4">
                  <c:v>-9799.0</c:v>
                </c:pt>
                <c:pt idx="5">
                  <c:v>4504.0</c:v>
                </c:pt>
                <c:pt idx="6">
                  <c:v>-8406.0</c:v>
                </c:pt>
                <c:pt idx="7">
                  <c:v>26003.0</c:v>
                </c:pt>
                <c:pt idx="8">
                  <c:v>32894.0</c:v>
                </c:pt>
                <c:pt idx="9">
                  <c:v>-5117.0</c:v>
                </c:pt>
                <c:pt idx="10">
                  <c:v>17780.0</c:v>
                </c:pt>
                <c:pt idx="11">
                  <c:v>13836.0</c:v>
                </c:pt>
              </c:numCache>
            </c:numRef>
          </c:yVal>
          <c:smooth val="0"/>
        </c:ser>
        <c:ser>
          <c:idx val="2"/>
          <c:order val="2"/>
          <c:tx>
            <c:v>1998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Team'!$L$92:$L$103</c:f>
              <c:numCache>
                <c:formatCode>General_)</c:formatCode>
                <c:ptCount val="12"/>
                <c:pt idx="0" formatCode="&quot;$&quot;#,##0_);[Red]\(&quot;$&quot;#,##0\)">
                  <c:v>55397.0</c:v>
                </c:pt>
                <c:pt idx="1">
                  <c:v>132312.0</c:v>
                </c:pt>
                <c:pt idx="2">
                  <c:v>116703.0</c:v>
                </c:pt>
                <c:pt idx="3">
                  <c:v>95693.0</c:v>
                </c:pt>
                <c:pt idx="4">
                  <c:v>83345.0</c:v>
                </c:pt>
                <c:pt idx="5">
                  <c:v>72726.0</c:v>
                </c:pt>
                <c:pt idx="6">
                  <c:v>195267.0</c:v>
                </c:pt>
                <c:pt idx="7">
                  <c:v>109989.0</c:v>
                </c:pt>
                <c:pt idx="8">
                  <c:v>75159.0</c:v>
                </c:pt>
                <c:pt idx="9">
                  <c:v>142669.0</c:v>
                </c:pt>
                <c:pt idx="10">
                  <c:v>61341.0</c:v>
                </c:pt>
                <c:pt idx="11" formatCode="&quot;$&quot;#,##0_);[Red]\(&quot;$&quot;#,##0\)">
                  <c:v>143965.0</c:v>
                </c:pt>
              </c:numCache>
            </c:numRef>
          </c:xVal>
          <c:yVal>
            <c:numRef>
              <c:f>'By Team'!$N$92:$N$103</c:f>
              <c:numCache>
                <c:formatCode>"$"#,##0_);[Red]\("$"#,##0\)</c:formatCode>
                <c:ptCount val="12"/>
                <c:pt idx="0">
                  <c:v>-29134.0</c:v>
                </c:pt>
                <c:pt idx="1">
                  <c:v>13323.0</c:v>
                </c:pt>
                <c:pt idx="2">
                  <c:v>-23070.0</c:v>
                </c:pt>
                <c:pt idx="3">
                  <c:v>1388.0</c:v>
                </c:pt>
                <c:pt idx="4">
                  <c:v>-49230.0</c:v>
                </c:pt>
                <c:pt idx="5">
                  <c:v>-17968.0</c:v>
                </c:pt>
                <c:pt idx="6">
                  <c:v>78181.0</c:v>
                </c:pt>
                <c:pt idx="7">
                  <c:v>-1999.0</c:v>
                </c:pt>
                <c:pt idx="8">
                  <c:v>-10904.0</c:v>
                </c:pt>
                <c:pt idx="9">
                  <c:v>21881.0</c:v>
                </c:pt>
                <c:pt idx="10">
                  <c:v>-28992.0</c:v>
                </c:pt>
                <c:pt idx="11">
                  <c:v>8706.0</c:v>
                </c:pt>
              </c:numCache>
            </c:numRef>
          </c:yVal>
          <c:smooth val="0"/>
        </c:ser>
        <c:ser>
          <c:idx val="3"/>
          <c:order val="3"/>
          <c:tx>
            <c:v>2000</c:v>
          </c:tx>
          <c:spPr>
            <a:ln w="28575">
              <a:noFill/>
            </a:ln>
          </c:spPr>
          <c:marker>
            <c:symbol val="x"/>
            <c:size val="7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Team'!$L$116:$L$123</c:f>
              <c:numCache>
                <c:formatCode>"$"#,##0_);[Red]\("$"#,##0\)</c:formatCode>
                <c:ptCount val="8"/>
                <c:pt idx="0">
                  <c:v>63936.0</c:v>
                </c:pt>
                <c:pt idx="1">
                  <c:v>84687.0</c:v>
                </c:pt>
                <c:pt idx="2">
                  <c:v>69718.0</c:v>
                </c:pt>
                <c:pt idx="3">
                  <c:v>105680.0</c:v>
                </c:pt>
                <c:pt idx="4">
                  <c:v>98629.0</c:v>
                </c:pt>
                <c:pt idx="5">
                  <c:v>99749.0</c:v>
                </c:pt>
                <c:pt idx="6">
                  <c:v>95373.0</c:v>
                </c:pt>
                <c:pt idx="7">
                  <c:v>98021.0</c:v>
                </c:pt>
              </c:numCache>
            </c:numRef>
          </c:xVal>
          <c:yVal>
            <c:numRef>
              <c:f>'By Team'!$N$116:$N$123</c:f>
              <c:numCache>
                <c:formatCode>"$"#,##0_);[Red]\("$"#,##0\)</c:formatCode>
                <c:ptCount val="8"/>
                <c:pt idx="0">
                  <c:v>-2487.0</c:v>
                </c:pt>
                <c:pt idx="1">
                  <c:v>3169.0</c:v>
                </c:pt>
                <c:pt idx="2">
                  <c:v>-4227.0</c:v>
                </c:pt>
                <c:pt idx="3">
                  <c:v>22461.0</c:v>
                </c:pt>
                <c:pt idx="4">
                  <c:v>19842.0</c:v>
                </c:pt>
                <c:pt idx="5">
                  <c:v>18135.0</c:v>
                </c:pt>
                <c:pt idx="6">
                  <c:v>15122.0</c:v>
                </c:pt>
                <c:pt idx="7">
                  <c:v>16624.0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286536"/>
        <c:axId val="-2141302872"/>
      </c:scatterChart>
      <c:valAx>
        <c:axId val="-2141286536"/>
        <c:scaling>
          <c:orientation val="minMax"/>
          <c:max val="160000.0"/>
          <c:min val="500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Sales</a:t>
                </a:r>
              </a:p>
            </c:rich>
          </c:tx>
          <c:layout>
            <c:manualLayout>
              <c:xMode val="edge"/>
              <c:yMode val="edge"/>
              <c:x val="0.441441996262161"/>
              <c:y val="0.92523385596931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302872"/>
        <c:crosses val="autoZero"/>
        <c:crossBetween val="midCat"/>
      </c:valAx>
      <c:valAx>
        <c:axId val="-2141302872"/>
        <c:scaling>
          <c:orientation val="minMax"/>
          <c:max val="40000.0"/>
          <c:min val="-5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 before Overhead</a:t>
                </a:r>
              </a:p>
            </c:rich>
          </c:tx>
          <c:layout>
            <c:manualLayout>
              <c:xMode val="edge"/>
              <c:yMode val="edge"/>
              <c:x val="0.0231660522819793"/>
              <c:y val="0.413084206402464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_);[Red]\(&quot;$&quot;#,##0.0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286536"/>
        <c:crosses val="autoZero"/>
        <c:crossBetween val="midCat"/>
        <c:majorUnit val="10000.0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9061103730674"/>
          <c:y val="0.635514163696098"/>
          <c:w val="0.205920464728705"/>
          <c:h val="0.2112150014637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79433842300867"/>
          <c:y val="0.0512130391092995"/>
          <c:w val="0.741844999231216"/>
          <c:h val="0.86792624174707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val>
            <c:numRef>
              <c:f>'By Team'!$N$179:$N$195</c:f>
              <c:numCache>
                <c:formatCode>"$"#,##0_);[Red]\("$"#,##0\)</c:formatCode>
                <c:ptCount val="17"/>
                <c:pt idx="0">
                  <c:v>34584.0</c:v>
                </c:pt>
                <c:pt idx="1">
                  <c:v>24149.0</c:v>
                </c:pt>
                <c:pt idx="2">
                  <c:v>29633.0</c:v>
                </c:pt>
                <c:pt idx="3">
                  <c:v>24576.0</c:v>
                </c:pt>
                <c:pt idx="4">
                  <c:v>27838.0</c:v>
                </c:pt>
                <c:pt idx="5">
                  <c:v>45751.0</c:v>
                </c:pt>
                <c:pt idx="6">
                  <c:v>46076.0</c:v>
                </c:pt>
                <c:pt idx="7">
                  <c:v>18091.0</c:v>
                </c:pt>
                <c:pt idx="8">
                  <c:v>88823.0</c:v>
                </c:pt>
                <c:pt idx="9">
                  <c:v>45290.0</c:v>
                </c:pt>
                <c:pt idx="10">
                  <c:v>65495.0</c:v>
                </c:pt>
                <c:pt idx="11">
                  <c:v>43184.0</c:v>
                </c:pt>
                <c:pt idx="12">
                  <c:v>36079.0</c:v>
                </c:pt>
                <c:pt idx="13">
                  <c:v>18149.0</c:v>
                </c:pt>
                <c:pt idx="14">
                  <c:v>48468.0</c:v>
                </c:pt>
                <c:pt idx="15">
                  <c:v>33303.0</c:v>
                </c:pt>
                <c:pt idx="16">
                  <c:v>40476.5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376392"/>
        <c:axId val="-2141414008"/>
      </c:lineChart>
      <c:catAx>
        <c:axId val="-21413763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2141414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1414008"/>
        <c:scaling>
          <c:orientation val="minMax"/>
        </c:scaling>
        <c:delete val="0"/>
        <c:axPos val="l"/>
        <c:numFmt formatCode="&quot;$&quot;#,##0_);[Red]\(&quot;$&quot;#,##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2141376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065008678259"/>
          <c:y val="0.452831082650648"/>
          <c:w val="0.139007284750782"/>
          <c:h val="0.0673855777753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France  P vs S</a:t>
            </a:r>
          </a:p>
        </c:rich>
      </c:tx>
      <c:layout>
        <c:manualLayout>
          <c:xMode val="edge"/>
          <c:yMode val="edge"/>
          <c:x val="0.439265915404856"/>
          <c:y val="0.0306749155428808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1807988750211"/>
          <c:y val="0.156442069268692"/>
          <c:w val="0.659605088405362"/>
          <c:h val="0.788345329452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'By Team'!$P$178</c:f>
              <c:strCache>
                <c:ptCount val="1"/>
                <c:pt idx="0">
                  <c:v>USA Profit Aft Var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Team'!$O$179:$O$197</c:f>
              <c:numCache>
                <c:formatCode>"$"#,##0_);[Red]\("$"#,##0\)</c:formatCode>
                <c:ptCount val="19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  <c:pt idx="17">
                  <c:v>62489.0</c:v>
                </c:pt>
                <c:pt idx="18">
                  <c:v>48079.0</c:v>
                </c:pt>
              </c:numCache>
            </c:numRef>
          </c:xVal>
          <c:yVal>
            <c:numRef>
              <c:f>'By Team'!$P$179:$P$197</c:f>
              <c:numCache>
                <c:formatCode>"$"#,##0_);[Red]\("$"#,##0\)</c:formatCode>
                <c:ptCount val="19"/>
                <c:pt idx="0">
                  <c:v>-29732.0</c:v>
                </c:pt>
                <c:pt idx="1">
                  <c:v>35824.0</c:v>
                </c:pt>
                <c:pt idx="2">
                  <c:v>-46775.0</c:v>
                </c:pt>
                <c:pt idx="3">
                  <c:v>-61845.0</c:v>
                </c:pt>
                <c:pt idx="4">
                  <c:v>489.0</c:v>
                </c:pt>
                <c:pt idx="5">
                  <c:v>-11821.0</c:v>
                </c:pt>
                <c:pt idx="6">
                  <c:v>14127.0</c:v>
                </c:pt>
                <c:pt idx="7">
                  <c:v>-46296.0</c:v>
                </c:pt>
                <c:pt idx="8">
                  <c:v>55058.0</c:v>
                </c:pt>
                <c:pt idx="9">
                  <c:v>-16982.0</c:v>
                </c:pt>
                <c:pt idx="10">
                  <c:v>29789.0</c:v>
                </c:pt>
                <c:pt idx="11">
                  <c:v>-47873.0</c:v>
                </c:pt>
                <c:pt idx="12">
                  <c:v>-667.0</c:v>
                </c:pt>
                <c:pt idx="13">
                  <c:v>-31555.0</c:v>
                </c:pt>
                <c:pt idx="14">
                  <c:v>5614.0</c:v>
                </c:pt>
                <c:pt idx="15">
                  <c:v>-5828.0</c:v>
                </c:pt>
                <c:pt idx="16">
                  <c:v>-2117.0</c:v>
                </c:pt>
                <c:pt idx="17">
                  <c:v>-6848.0</c:v>
                </c:pt>
                <c:pt idx="18">
                  <c:v>4544.0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'By Team'!$O$179:$O$195</c:f>
              <c:numCache>
                <c:formatCode>"$"#,##0_);[Red]\("$"#,##0\)</c:formatCode>
                <c:ptCount val="17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</c:numCache>
            </c:numRef>
          </c:xVal>
          <c:yVal>
            <c:numRef>
              <c:f>'By Team'!#REF!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'By Team'!$O$179:$O$195</c:f>
              <c:numCache>
                <c:formatCode>"$"#,##0_);[Red]\("$"#,##0\)</c:formatCode>
                <c:ptCount val="17"/>
                <c:pt idx="0">
                  <c:v>36598.0</c:v>
                </c:pt>
                <c:pt idx="1">
                  <c:v>92670.0</c:v>
                </c:pt>
                <c:pt idx="2">
                  <c:v>31817.0</c:v>
                </c:pt>
                <c:pt idx="3">
                  <c:v>42784.0</c:v>
                </c:pt>
                <c:pt idx="4">
                  <c:v>66257.0</c:v>
                </c:pt>
                <c:pt idx="5">
                  <c:v>55306.0</c:v>
                </c:pt>
                <c:pt idx="6">
                  <c:v>124997.0</c:v>
                </c:pt>
                <c:pt idx="7">
                  <c:v>50625.0</c:v>
                </c:pt>
                <c:pt idx="8">
                  <c:v>91577.0</c:v>
                </c:pt>
                <c:pt idx="9">
                  <c:v>53294.0</c:v>
                </c:pt>
                <c:pt idx="10">
                  <c:v>76685.0</c:v>
                </c:pt>
                <c:pt idx="11">
                  <c:v>46216.0</c:v>
                </c:pt>
                <c:pt idx="12">
                  <c:v>53250.0</c:v>
                </c:pt>
                <c:pt idx="13">
                  <c:v>34798.0</c:v>
                </c:pt>
                <c:pt idx="14">
                  <c:v>56494.0</c:v>
                </c:pt>
                <c:pt idx="15">
                  <c:v>66804.0</c:v>
                </c:pt>
                <c:pt idx="16">
                  <c:v>59008.0</c:v>
                </c:pt>
              </c:numCache>
            </c:numRef>
          </c:xVal>
          <c:yVal>
            <c:numRef>
              <c:f>'By Team'!$S$179:$S$195</c:f>
              <c:numCache>
                <c:formatCode>"$"#,##0_);[Red]\("$"#,##0\)</c:formatCode>
                <c:ptCount val="17"/>
                <c:pt idx="2">
                  <c:v>161085.0</c:v>
                </c:pt>
                <c:pt idx="5">
                  <c:v>325432.0</c:v>
                </c:pt>
                <c:pt idx="14">
                  <c:v>144542.0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446296"/>
        <c:axId val="-2141440680"/>
      </c:scatterChart>
      <c:valAx>
        <c:axId val="-214144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2141440680"/>
        <c:crosses val="autoZero"/>
        <c:crossBetween val="midCat"/>
      </c:valAx>
      <c:valAx>
        <c:axId val="-2141440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21414462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5198425636443"/>
          <c:y val="0.441718783817484"/>
          <c:w val="0.194915422269679"/>
          <c:h val="0.1503070861601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621554439474"/>
          <c:y val="0.101321912821081"/>
          <c:w val="0.539642112210438"/>
          <c:h val="0.80176470145377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'By Team'!$P$103:$P$123</c:f>
              <c:numCache>
                <c:formatCode>"$"#,##0_);[Red]\("$"#,##0\)</c:formatCode>
                <c:ptCount val="21"/>
                <c:pt idx="0">
                  <c:v>-37818.0</c:v>
                </c:pt>
                <c:pt idx="1">
                  <c:v>-3182.0</c:v>
                </c:pt>
                <c:pt idx="2">
                  <c:v>-13280.0</c:v>
                </c:pt>
                <c:pt idx="3">
                  <c:v>13258.0</c:v>
                </c:pt>
                <c:pt idx="4">
                  <c:v>30752.0</c:v>
                </c:pt>
                <c:pt idx="5">
                  <c:v>70183.0</c:v>
                </c:pt>
                <c:pt idx="6">
                  <c:v>92655.0</c:v>
                </c:pt>
                <c:pt idx="7">
                  <c:v>6068.0</c:v>
                </c:pt>
                <c:pt idx="8">
                  <c:v>34070.0</c:v>
                </c:pt>
                <c:pt idx="9">
                  <c:v>77868.0</c:v>
                </c:pt>
                <c:pt idx="10">
                  <c:v>50870.0</c:v>
                </c:pt>
                <c:pt idx="11">
                  <c:v>97642.0</c:v>
                </c:pt>
                <c:pt idx="12">
                  <c:v>102772.0</c:v>
                </c:pt>
                <c:pt idx="13">
                  <c:v>94783.0</c:v>
                </c:pt>
                <c:pt idx="14">
                  <c:v>94727.0</c:v>
                </c:pt>
                <c:pt idx="15">
                  <c:v>87032.0</c:v>
                </c:pt>
                <c:pt idx="16">
                  <c:v>90611.0</c:v>
                </c:pt>
                <c:pt idx="17">
                  <c:v>120252.0</c:v>
                </c:pt>
                <c:pt idx="18">
                  <c:v>133883.0</c:v>
                </c:pt>
                <c:pt idx="19">
                  <c:v>157411.0</c:v>
                </c:pt>
                <c:pt idx="20">
                  <c:v>148032.0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1474744"/>
        <c:axId val="-2141469848"/>
      </c:lineChart>
      <c:catAx>
        <c:axId val="-2141474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4698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-2141469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-2141474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7724031093909"/>
          <c:y val="0.458151257973583"/>
          <c:w val="0.194373462217978"/>
          <c:h val="0.0881060111487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en-US"/>
              <a:t>Source 1997</a:t>
            </a:r>
          </a:p>
        </c:rich>
      </c:tx>
      <c:layout>
        <c:manualLayout>
          <c:xMode val="edge"/>
          <c:yMode val="edge"/>
          <c:x val="0.436102491542336"/>
          <c:y val="0.030000009155276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31727516283"/>
          <c:y val="0.145000044250502"/>
          <c:w val="0.670926910065132"/>
          <c:h val="0.76500023345954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'By Group'!$B$2:$B$16</c:f>
              <c:numCache>
                <c:formatCode>"$"#,##0_);[Red]\("$"#,##0\)</c:formatCode>
                <c:ptCount val="15"/>
                <c:pt idx="0">
                  <c:v>585543.0</c:v>
                </c:pt>
                <c:pt idx="1">
                  <c:v>593778.0</c:v>
                </c:pt>
                <c:pt idx="2">
                  <c:v>561079.0</c:v>
                </c:pt>
                <c:pt idx="3">
                  <c:v>355940.0</c:v>
                </c:pt>
                <c:pt idx="4">
                  <c:v>647997.0</c:v>
                </c:pt>
                <c:pt idx="5">
                  <c:v>393678.0</c:v>
                </c:pt>
                <c:pt idx="6">
                  <c:v>490507.0</c:v>
                </c:pt>
                <c:pt idx="7">
                  <c:v>614750.0</c:v>
                </c:pt>
                <c:pt idx="8">
                  <c:v>620900.0</c:v>
                </c:pt>
                <c:pt idx="9">
                  <c:v>647687.6</c:v>
                </c:pt>
                <c:pt idx="10">
                  <c:v>563230.17</c:v>
                </c:pt>
                <c:pt idx="11">
                  <c:v>706313.0</c:v>
                </c:pt>
                <c:pt idx="12">
                  <c:v>486510.0</c:v>
                </c:pt>
                <c:pt idx="13">
                  <c:v>428246.0</c:v>
                </c:pt>
                <c:pt idx="14">
                  <c:v>619202.0</c:v>
                </c:pt>
              </c:numCache>
            </c:numRef>
          </c:xVal>
          <c:yVal>
            <c:numRef>
              <c:f>'By Group'!$C$2:$C$16</c:f>
              <c:numCache>
                <c:formatCode>"$"#,##0_);[Red]\("$"#,##0\)</c:formatCode>
                <c:ptCount val="15"/>
                <c:pt idx="0">
                  <c:v>154309.0</c:v>
                </c:pt>
                <c:pt idx="1">
                  <c:v>138229.0</c:v>
                </c:pt>
                <c:pt idx="2">
                  <c:v>103634.0</c:v>
                </c:pt>
                <c:pt idx="3">
                  <c:v>-104733.0</c:v>
                </c:pt>
                <c:pt idx="4">
                  <c:v>202025.0</c:v>
                </c:pt>
                <c:pt idx="5">
                  <c:v>-23420.0</c:v>
                </c:pt>
                <c:pt idx="6">
                  <c:v>74979.0</c:v>
                </c:pt>
                <c:pt idx="7">
                  <c:v>96179.0</c:v>
                </c:pt>
                <c:pt idx="8">
                  <c:v>80677.0</c:v>
                </c:pt>
                <c:pt idx="9">
                  <c:v>154861.45</c:v>
                </c:pt>
                <c:pt idx="10">
                  <c:v>45119.61</c:v>
                </c:pt>
                <c:pt idx="11">
                  <c:v>117531.0</c:v>
                </c:pt>
                <c:pt idx="12">
                  <c:v>-487.0</c:v>
                </c:pt>
                <c:pt idx="13">
                  <c:v>-2035.0</c:v>
                </c:pt>
                <c:pt idx="14">
                  <c:v>88061.0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949384"/>
        <c:axId val="2092811656"/>
      </c:scatterChart>
      <c:valAx>
        <c:axId val="2091949384"/>
        <c:scaling>
          <c:orientation val="minMax"/>
          <c:min val="300000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Sales</a:t>
                </a:r>
              </a:p>
            </c:rich>
          </c:tx>
          <c:layout>
            <c:manualLayout>
              <c:xMode val="edge"/>
              <c:yMode val="edge"/>
              <c:x val="0.456869276853876"/>
              <c:y val="0.930000283813563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811656"/>
        <c:crosses val="autoZero"/>
        <c:crossBetween val="midCat"/>
      </c:valAx>
      <c:valAx>
        <c:axId val="2092811656"/>
        <c:scaling>
          <c:orientation val="minMax"/>
          <c:min val="-2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Month </a:t>
                </a:r>
              </a:p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en-US"/>
                  <a:t>Profit</a:t>
                </a:r>
              </a:p>
            </c:rich>
          </c:tx>
          <c:layout>
            <c:manualLayout>
              <c:xMode val="edge"/>
              <c:yMode val="edge"/>
              <c:x val="0.0175718952636106"/>
              <c:y val="0.48750014877323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1949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9073967437628"/>
          <c:y val="0.510000155639696"/>
          <c:w val="0.166134282492318"/>
          <c:h val="0.07250002212525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>
      <c:oddHeader>&amp;A</c:oddHeader>
      <c:oddFooter>Page &amp;P</c:oddFooter>
    </c:headerFooter>
    <c:pageMargins b="1.0" l="0.75" r="0.75" t="1.0" header="0.5" footer="0.5"/>
    <c:pageSetup paperSize="0" orientation="landscape" horizontalDpi="-4" verticalDpi="-4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4010943907984"/>
          <c:y val="0.0970468133851422"/>
          <c:w val="0.502674288996852"/>
          <c:h val="0.8101299204324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'By Group'!$B$2:$B$16</c:f>
              <c:numCache>
                <c:formatCode>"$"#,##0_);[Red]\("$"#,##0\)</c:formatCode>
                <c:ptCount val="15"/>
                <c:pt idx="0">
                  <c:v>585543.0</c:v>
                </c:pt>
                <c:pt idx="1">
                  <c:v>593778.0</c:v>
                </c:pt>
                <c:pt idx="2">
                  <c:v>561079.0</c:v>
                </c:pt>
                <c:pt idx="3">
                  <c:v>355940.0</c:v>
                </c:pt>
                <c:pt idx="4">
                  <c:v>647997.0</c:v>
                </c:pt>
                <c:pt idx="5">
                  <c:v>393678.0</c:v>
                </c:pt>
                <c:pt idx="6">
                  <c:v>490507.0</c:v>
                </c:pt>
                <c:pt idx="7">
                  <c:v>614750.0</c:v>
                </c:pt>
                <c:pt idx="8">
                  <c:v>620900.0</c:v>
                </c:pt>
                <c:pt idx="9">
                  <c:v>647687.6</c:v>
                </c:pt>
                <c:pt idx="10">
                  <c:v>563230.17</c:v>
                </c:pt>
                <c:pt idx="11">
                  <c:v>706313.0</c:v>
                </c:pt>
                <c:pt idx="12">
                  <c:v>486510.0</c:v>
                </c:pt>
                <c:pt idx="13">
                  <c:v>428246.0</c:v>
                </c:pt>
                <c:pt idx="14">
                  <c:v>619202.0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'By Group'!$C$2:$C$16</c:f>
              <c:numCache>
                <c:formatCode>"$"#,##0_);[Red]\("$"#,##0\)</c:formatCode>
                <c:ptCount val="15"/>
                <c:pt idx="0">
                  <c:v>154309.0</c:v>
                </c:pt>
                <c:pt idx="1">
                  <c:v>138229.0</c:v>
                </c:pt>
                <c:pt idx="2">
                  <c:v>103634.0</c:v>
                </c:pt>
                <c:pt idx="3">
                  <c:v>-104733.0</c:v>
                </c:pt>
                <c:pt idx="4">
                  <c:v>202025.0</c:v>
                </c:pt>
                <c:pt idx="5">
                  <c:v>-23420.0</c:v>
                </c:pt>
                <c:pt idx="6">
                  <c:v>74979.0</c:v>
                </c:pt>
                <c:pt idx="7">
                  <c:v>96179.0</c:v>
                </c:pt>
                <c:pt idx="8">
                  <c:v>80677.0</c:v>
                </c:pt>
                <c:pt idx="9">
                  <c:v>154861.45</c:v>
                </c:pt>
                <c:pt idx="10">
                  <c:v>45119.61</c:v>
                </c:pt>
                <c:pt idx="11">
                  <c:v>117531.0</c:v>
                </c:pt>
                <c:pt idx="12">
                  <c:v>-487.0</c:v>
                </c:pt>
                <c:pt idx="13">
                  <c:v>-2035.0</c:v>
                </c:pt>
                <c:pt idx="14">
                  <c:v>88061.0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235144"/>
        <c:axId val="2092239416"/>
      </c:lineChart>
      <c:catAx>
        <c:axId val="209223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239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92239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2092235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075628181297"/>
          <c:y val="0.421942666891922"/>
          <c:w val="0.203208755126387"/>
          <c:h val="0.164557640087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22222222222"/>
          <c:y val="0.0174291938997821"/>
          <c:w val="0.897777777777778"/>
          <c:h val="0.89760348583878"/>
        </c:manualLayout>
      </c:layout>
      <c:lineChart>
        <c:grouping val="standard"/>
        <c:varyColors val="0"/>
        <c:ser>
          <c:idx val="0"/>
          <c:order val="0"/>
          <c:tx>
            <c:strRef>
              <c:f>'Month S&amp;P'!$BH$3</c:f>
              <c:strCache>
                <c:ptCount val="1"/>
                <c:pt idx="0">
                  <c:v>Jan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S&amp;P'!$BI$3:$CD$3</c:f>
              <c:numCache>
                <c:formatCode>#,##0_);[Red]\(#,##0\)</c:formatCode>
                <c:ptCount val="22"/>
                <c:pt idx="0">
                  <c:v>346277.0</c:v>
                </c:pt>
                <c:pt idx="1">
                  <c:v>429371.0</c:v>
                </c:pt>
                <c:pt idx="2">
                  <c:v>741407.0</c:v>
                </c:pt>
                <c:pt idx="3">
                  <c:v>720116.0</c:v>
                </c:pt>
                <c:pt idx="4">
                  <c:v>1.016229E6</c:v>
                </c:pt>
                <c:pt idx="5">
                  <c:v>1.28502E6</c:v>
                </c:pt>
                <c:pt idx="6">
                  <c:v>848032.79</c:v>
                </c:pt>
                <c:pt idx="7">
                  <c:v>1.0250762388E6</c:v>
                </c:pt>
                <c:pt idx="8">
                  <c:v>1.030179048E6</c:v>
                </c:pt>
                <c:pt idx="9">
                  <c:v>1.052245728E6</c:v>
                </c:pt>
                <c:pt idx="10">
                  <c:v>947414.0</c:v>
                </c:pt>
                <c:pt idx="11">
                  <c:v>935508.0</c:v>
                </c:pt>
                <c:pt idx="12">
                  <c:v>909246.0</c:v>
                </c:pt>
                <c:pt idx="13">
                  <c:v>941149.0</c:v>
                </c:pt>
                <c:pt idx="14">
                  <c:v>882527.0</c:v>
                </c:pt>
                <c:pt idx="15">
                  <c:v>700486.0</c:v>
                </c:pt>
                <c:pt idx="16">
                  <c:v>1.036928E6</c:v>
                </c:pt>
                <c:pt idx="17">
                  <c:v>692392.0</c:v>
                </c:pt>
                <c:pt idx="18">
                  <c:v>991617.0</c:v>
                </c:pt>
                <c:pt idx="19">
                  <c:v>1.012893E6</c:v>
                </c:pt>
                <c:pt idx="20">
                  <c:v>1.444774E6</c:v>
                </c:pt>
                <c:pt idx="21">
                  <c:v>1.360922E6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'Month S&amp;P'!$BH$4</c:f>
              <c:strCache>
                <c:ptCount val="1"/>
                <c:pt idx="0">
                  <c:v>Feb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S&amp;P'!$BI$4:$CD$4</c:f>
              <c:numCache>
                <c:formatCode>#,##0_);[Red]\(#,##0\)</c:formatCode>
                <c:ptCount val="22"/>
                <c:pt idx="0">
                  <c:v>403848.0</c:v>
                </c:pt>
                <c:pt idx="1">
                  <c:v>405501.72</c:v>
                </c:pt>
                <c:pt idx="2">
                  <c:v>504044.0</c:v>
                </c:pt>
                <c:pt idx="3">
                  <c:v>855670.0</c:v>
                </c:pt>
                <c:pt idx="4">
                  <c:v>941820.0</c:v>
                </c:pt>
                <c:pt idx="5">
                  <c:v>1.097886E6</c:v>
                </c:pt>
                <c:pt idx="6">
                  <c:v>1.13982547E6</c:v>
                </c:pt>
                <c:pt idx="7">
                  <c:v>1.4127394192E6</c:v>
                </c:pt>
                <c:pt idx="8">
                  <c:v>1.3826848384E6</c:v>
                </c:pt>
                <c:pt idx="9">
                  <c:v>1.06413929E6</c:v>
                </c:pt>
                <c:pt idx="10">
                  <c:v>861699.0</c:v>
                </c:pt>
                <c:pt idx="11">
                  <c:v>785719.0</c:v>
                </c:pt>
                <c:pt idx="12">
                  <c:v>942247.0</c:v>
                </c:pt>
                <c:pt idx="13">
                  <c:v>1.241801E6</c:v>
                </c:pt>
                <c:pt idx="14">
                  <c:v>1.073357E6</c:v>
                </c:pt>
                <c:pt idx="15">
                  <c:v>957141.0</c:v>
                </c:pt>
                <c:pt idx="16">
                  <c:v>909860.0</c:v>
                </c:pt>
                <c:pt idx="17">
                  <c:v>811487.0</c:v>
                </c:pt>
                <c:pt idx="18">
                  <c:v>1.357067E6</c:v>
                </c:pt>
                <c:pt idx="19">
                  <c:v>1.032371E6</c:v>
                </c:pt>
                <c:pt idx="20">
                  <c:v>1.672737E6</c:v>
                </c:pt>
                <c:pt idx="21">
                  <c:v>1.732312E6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'Month S&amp;P'!$BH$5</c:f>
              <c:strCache>
                <c:ptCount val="1"/>
                <c:pt idx="0">
                  <c:v>Mar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S&amp;P'!$BI$5:$CD$5</c:f>
              <c:numCache>
                <c:formatCode>#,##0_);[Red]\(#,##0\)</c:formatCode>
                <c:ptCount val="22"/>
                <c:pt idx="0">
                  <c:v>338381.0</c:v>
                </c:pt>
                <c:pt idx="1">
                  <c:v>390289.0</c:v>
                </c:pt>
                <c:pt idx="2">
                  <c:v>978280.0</c:v>
                </c:pt>
                <c:pt idx="3">
                  <c:v>1.076054E6</c:v>
                </c:pt>
                <c:pt idx="4">
                  <c:v>1.376812E6</c:v>
                </c:pt>
                <c:pt idx="5">
                  <c:v>1.405563E6</c:v>
                </c:pt>
                <c:pt idx="6">
                  <c:v>1.5434358E6</c:v>
                </c:pt>
                <c:pt idx="7">
                  <c:v>1.6263148704E6</c:v>
                </c:pt>
                <c:pt idx="8">
                  <c:v>1.0380910688E6</c:v>
                </c:pt>
                <c:pt idx="9">
                  <c:v>1.03228047E6</c:v>
                </c:pt>
                <c:pt idx="10">
                  <c:v>1.11577E6</c:v>
                </c:pt>
                <c:pt idx="11">
                  <c:v>1.218188E6</c:v>
                </c:pt>
                <c:pt idx="12">
                  <c:v>1.1738E6</c:v>
                </c:pt>
                <c:pt idx="13">
                  <c:v>1.274699E6</c:v>
                </c:pt>
                <c:pt idx="14">
                  <c:v>1.706161E6</c:v>
                </c:pt>
                <c:pt idx="15">
                  <c:v>1.010758E6</c:v>
                </c:pt>
                <c:pt idx="16">
                  <c:v>1.60324E6</c:v>
                </c:pt>
                <c:pt idx="17">
                  <c:v>1.580258E6</c:v>
                </c:pt>
                <c:pt idx="18">
                  <c:v>1.491226E6</c:v>
                </c:pt>
                <c:pt idx="19">
                  <c:v>1.438826E6</c:v>
                </c:pt>
                <c:pt idx="20">
                  <c:v>1.683301E6</c:v>
                </c:pt>
                <c:pt idx="21">
                  <c:v>1.941347E6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'Month S&amp;P'!$BH$6</c:f>
              <c:strCache>
                <c:ptCount val="1"/>
                <c:pt idx="0">
                  <c:v>Apr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S&amp;P'!$BI$6:$CD$6</c:f>
              <c:numCache>
                <c:formatCode>#,##0_);[Red]\(#,##0\)</c:formatCode>
                <c:ptCount val="22"/>
                <c:pt idx="0">
                  <c:v>355119.0</c:v>
                </c:pt>
                <c:pt idx="1">
                  <c:v>322096.0</c:v>
                </c:pt>
                <c:pt idx="2">
                  <c:v>878015.0</c:v>
                </c:pt>
                <c:pt idx="3">
                  <c:v>1.014512E6</c:v>
                </c:pt>
                <c:pt idx="4">
                  <c:v>1.265885E6</c:v>
                </c:pt>
                <c:pt idx="5">
                  <c:v>1.347052E6</c:v>
                </c:pt>
                <c:pt idx="6">
                  <c:v>1.44482816E6</c:v>
                </c:pt>
                <c:pt idx="7">
                  <c:v>1.2821642748E6</c:v>
                </c:pt>
                <c:pt idx="8">
                  <c:v>1.198156024E6</c:v>
                </c:pt>
                <c:pt idx="9">
                  <c:v>857541.843</c:v>
                </c:pt>
                <c:pt idx="10">
                  <c:v>945492.0</c:v>
                </c:pt>
                <c:pt idx="11">
                  <c:v>942406.0</c:v>
                </c:pt>
                <c:pt idx="12">
                  <c:v>879252.0</c:v>
                </c:pt>
                <c:pt idx="13">
                  <c:v>1.587671E6</c:v>
                </c:pt>
                <c:pt idx="14">
                  <c:v>1.233898E6</c:v>
                </c:pt>
                <c:pt idx="15">
                  <c:v>1.279763E6</c:v>
                </c:pt>
                <c:pt idx="16">
                  <c:v>1.118864E6</c:v>
                </c:pt>
                <c:pt idx="17">
                  <c:v>1.393723E6</c:v>
                </c:pt>
                <c:pt idx="18">
                  <c:v>1.312977E6</c:v>
                </c:pt>
                <c:pt idx="19">
                  <c:v>1.677345E6</c:v>
                </c:pt>
                <c:pt idx="20">
                  <c:v>2.153669E6</c:v>
                </c:pt>
                <c:pt idx="21">
                  <c:v>1.695114E6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'Month S&amp;P'!$BH$7</c:f>
              <c:strCache>
                <c:ptCount val="1"/>
                <c:pt idx="0">
                  <c:v>May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S&amp;P'!$BI$7:$CD$7</c:f>
              <c:numCache>
                <c:formatCode>#,##0_);[Red]\(#,##0\)</c:formatCode>
                <c:ptCount val="22"/>
                <c:pt idx="0">
                  <c:v>280552.0</c:v>
                </c:pt>
                <c:pt idx="1">
                  <c:v>685017.0</c:v>
                </c:pt>
                <c:pt idx="2">
                  <c:v>819672.0</c:v>
                </c:pt>
                <c:pt idx="3">
                  <c:v>1.244896E6</c:v>
                </c:pt>
                <c:pt idx="4">
                  <c:v>1.408267E6</c:v>
                </c:pt>
                <c:pt idx="5">
                  <c:v>1.48150315E6</c:v>
                </c:pt>
                <c:pt idx="6">
                  <c:v>1.32347898E6</c:v>
                </c:pt>
                <c:pt idx="7">
                  <c:v>1.367772806E6</c:v>
                </c:pt>
                <c:pt idx="8">
                  <c:v>1.5049908208E6</c:v>
                </c:pt>
                <c:pt idx="9">
                  <c:v>1.081083937E6</c:v>
                </c:pt>
                <c:pt idx="10">
                  <c:v>885786.0</c:v>
                </c:pt>
                <c:pt idx="11">
                  <c:v>1.033703E6</c:v>
                </c:pt>
                <c:pt idx="12">
                  <c:v>1.418552E6</c:v>
                </c:pt>
                <c:pt idx="13">
                  <c:v>1.581307E6</c:v>
                </c:pt>
                <c:pt idx="14">
                  <c:v>1.537412E6</c:v>
                </c:pt>
                <c:pt idx="15">
                  <c:v>1.347483E6</c:v>
                </c:pt>
                <c:pt idx="16">
                  <c:v>1.107311E6</c:v>
                </c:pt>
                <c:pt idx="17">
                  <c:v>1.743022E6</c:v>
                </c:pt>
                <c:pt idx="18">
                  <c:v>1.701296E6</c:v>
                </c:pt>
                <c:pt idx="19">
                  <c:v>1.762052E6</c:v>
                </c:pt>
                <c:pt idx="20">
                  <c:v>2.494703E6</c:v>
                </c:pt>
                <c:pt idx="21">
                  <c:v>1.645165E6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'Month S&amp;P'!$BH$8</c:f>
              <c:strCache>
                <c:ptCount val="1"/>
                <c:pt idx="0">
                  <c:v>Jun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S&amp;P'!$BI$8:$CD$8</c:f>
              <c:numCache>
                <c:formatCode>#,##0_);[Red]\(#,##0\)</c:formatCode>
                <c:ptCount val="22"/>
                <c:pt idx="0">
                  <c:v>551008.0</c:v>
                </c:pt>
                <c:pt idx="1">
                  <c:v>861448.0</c:v>
                </c:pt>
                <c:pt idx="2">
                  <c:v>1.067844E6</c:v>
                </c:pt>
                <c:pt idx="3">
                  <c:v>1.000425E6</c:v>
                </c:pt>
                <c:pt idx="4">
                  <c:v>1.635371E6</c:v>
                </c:pt>
                <c:pt idx="5">
                  <c:v>1.493154E6</c:v>
                </c:pt>
                <c:pt idx="6">
                  <c:v>1.89695896E6</c:v>
                </c:pt>
                <c:pt idx="7">
                  <c:v>1.5469185204E6</c:v>
                </c:pt>
                <c:pt idx="8">
                  <c:v>1.4938797808E6</c:v>
                </c:pt>
                <c:pt idx="9">
                  <c:v>949465.2960000001</c:v>
                </c:pt>
                <c:pt idx="10">
                  <c:v>1.0463E6</c:v>
                </c:pt>
                <c:pt idx="11">
                  <c:v>929225.0</c:v>
                </c:pt>
                <c:pt idx="12">
                  <c:v>1.263663E6</c:v>
                </c:pt>
                <c:pt idx="13">
                  <c:v>1.570396E6</c:v>
                </c:pt>
                <c:pt idx="14">
                  <c:v>1.292004E6</c:v>
                </c:pt>
                <c:pt idx="15">
                  <c:v>1.686596E6</c:v>
                </c:pt>
                <c:pt idx="16">
                  <c:v>1.625491E6</c:v>
                </c:pt>
                <c:pt idx="17">
                  <c:v>1.602908E6</c:v>
                </c:pt>
                <c:pt idx="18">
                  <c:v>1.569316E6</c:v>
                </c:pt>
                <c:pt idx="19">
                  <c:v>2.30433E6</c:v>
                </c:pt>
                <c:pt idx="20">
                  <c:v>2.9231E6</c:v>
                </c:pt>
                <c:pt idx="21">
                  <c:v>1.895115E6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'Month S&amp;P'!$BH$9</c:f>
              <c:strCache>
                <c:ptCount val="1"/>
                <c:pt idx="0">
                  <c:v>Jul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S&amp;P'!$BI$9:$CD$9</c:f>
              <c:numCache>
                <c:formatCode>#,##0_);[Red]\(#,##0\)</c:formatCode>
                <c:ptCount val="22"/>
                <c:pt idx="0">
                  <c:v>668978.0</c:v>
                </c:pt>
                <c:pt idx="1">
                  <c:v>681074.0</c:v>
                </c:pt>
                <c:pt idx="2">
                  <c:v>967042.0</c:v>
                </c:pt>
                <c:pt idx="3">
                  <c:v>1.016436E6</c:v>
                </c:pt>
                <c:pt idx="4">
                  <c:v>1.448492E6</c:v>
                </c:pt>
                <c:pt idx="5">
                  <c:v>1.2476474E6</c:v>
                </c:pt>
                <c:pt idx="6">
                  <c:v>1.43580579E6</c:v>
                </c:pt>
                <c:pt idx="7">
                  <c:v>1.3672326524E6</c:v>
                </c:pt>
                <c:pt idx="8">
                  <c:v>1.3445175632E6</c:v>
                </c:pt>
                <c:pt idx="9">
                  <c:v>1.156060897E6</c:v>
                </c:pt>
                <c:pt idx="10">
                  <c:v>998754.0</c:v>
                </c:pt>
                <c:pt idx="11">
                  <c:v>1.012575E6</c:v>
                </c:pt>
                <c:pt idx="12">
                  <c:v>1.118487E6</c:v>
                </c:pt>
                <c:pt idx="13">
                  <c:v>1.248088E6</c:v>
                </c:pt>
                <c:pt idx="14">
                  <c:v>846052.0</c:v>
                </c:pt>
                <c:pt idx="15">
                  <c:v>1.408622E6</c:v>
                </c:pt>
                <c:pt idx="16">
                  <c:v>1.013194E6</c:v>
                </c:pt>
                <c:pt idx="17">
                  <c:v>1.018459E6</c:v>
                </c:pt>
                <c:pt idx="18">
                  <c:v>1.318819E6</c:v>
                </c:pt>
                <c:pt idx="19">
                  <c:v>1.828259E6</c:v>
                </c:pt>
                <c:pt idx="20">
                  <c:v>2.615911E6</c:v>
                </c:pt>
                <c:pt idx="21">
                  <c:v>1.866935E6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'Month S&amp;P'!$BH$10</c:f>
              <c:strCache>
                <c:ptCount val="1"/>
                <c:pt idx="0">
                  <c:v>Aug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S&amp;P'!$BI$10:$CD$10</c:f>
              <c:numCache>
                <c:formatCode>#,##0_);[Red]\(#,##0\)</c:formatCode>
                <c:ptCount val="22"/>
                <c:pt idx="0">
                  <c:v>641074.0</c:v>
                </c:pt>
                <c:pt idx="1">
                  <c:v>817046.0</c:v>
                </c:pt>
                <c:pt idx="2">
                  <c:v>1.074697E6</c:v>
                </c:pt>
                <c:pt idx="3">
                  <c:v>1.172276E6</c:v>
                </c:pt>
                <c:pt idx="4">
                  <c:v>1.576011E6</c:v>
                </c:pt>
                <c:pt idx="5">
                  <c:v>1.243845E6</c:v>
                </c:pt>
                <c:pt idx="6">
                  <c:v>1.7244114E6</c:v>
                </c:pt>
                <c:pt idx="7">
                  <c:v>1.6347336044E6</c:v>
                </c:pt>
                <c:pt idx="8">
                  <c:v>1.1998282048E6</c:v>
                </c:pt>
                <c:pt idx="9">
                  <c:v>1.053861727E6</c:v>
                </c:pt>
                <c:pt idx="10">
                  <c:v>926298.0</c:v>
                </c:pt>
                <c:pt idx="11">
                  <c:v>922523.0</c:v>
                </c:pt>
                <c:pt idx="12">
                  <c:v>1.191666E6</c:v>
                </c:pt>
                <c:pt idx="13">
                  <c:v>1.38493E6</c:v>
                </c:pt>
                <c:pt idx="14">
                  <c:v>816063.0</c:v>
                </c:pt>
                <c:pt idx="15">
                  <c:v>1.384765E6</c:v>
                </c:pt>
                <c:pt idx="16">
                  <c:v>1.043654E6</c:v>
                </c:pt>
                <c:pt idx="17">
                  <c:v>1.238279E6</c:v>
                </c:pt>
                <c:pt idx="18">
                  <c:v>1.474138E6</c:v>
                </c:pt>
                <c:pt idx="19">
                  <c:v>1.806018E6</c:v>
                </c:pt>
                <c:pt idx="20">
                  <c:v>2.459366E6</c:v>
                </c:pt>
                <c:pt idx="21">
                  <c:v>2.111874E6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'Month S&amp;P'!$BH$11</c:f>
              <c:strCache>
                <c:ptCount val="1"/>
                <c:pt idx="0">
                  <c:v>Sep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'Month S&amp;P'!$BI$2:$CC$2</c:f>
              <c:numCache>
                <c:formatCode>General</c:formatCode>
                <c:ptCount val="21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</c:numCache>
            </c:numRef>
          </c:cat>
          <c:val>
            <c:numRef>
              <c:f>'Month S&amp;P'!$BI$11:$CC$11</c:f>
              <c:numCache>
                <c:formatCode>#,##0_);[Red]\(#,##0\)</c:formatCode>
                <c:ptCount val="21"/>
                <c:pt idx="0">
                  <c:v>608257.0</c:v>
                </c:pt>
                <c:pt idx="1">
                  <c:v>867811.0</c:v>
                </c:pt>
                <c:pt idx="2">
                  <c:v>1.081792E6</c:v>
                </c:pt>
                <c:pt idx="3">
                  <c:v>1.126652E6</c:v>
                </c:pt>
                <c:pt idx="4">
                  <c:v>1.420289E6</c:v>
                </c:pt>
                <c:pt idx="5">
                  <c:v>1.2933258E6</c:v>
                </c:pt>
                <c:pt idx="6">
                  <c:v>1.7520814E6</c:v>
                </c:pt>
                <c:pt idx="7">
                  <c:v>1.2594651196E6</c:v>
                </c:pt>
                <c:pt idx="8">
                  <c:v>1.2002772848E6</c:v>
                </c:pt>
                <c:pt idx="9">
                  <c:v>1.23227888E6</c:v>
                </c:pt>
                <c:pt idx="10">
                  <c:v>828776.0</c:v>
                </c:pt>
                <c:pt idx="11">
                  <c:v>1.064149E6</c:v>
                </c:pt>
                <c:pt idx="12">
                  <c:v>1.248844E6</c:v>
                </c:pt>
                <c:pt idx="13">
                  <c:v>1.166555E6</c:v>
                </c:pt>
                <c:pt idx="14">
                  <c:v>1.004315E6</c:v>
                </c:pt>
                <c:pt idx="15">
                  <c:v>1.25929E6</c:v>
                </c:pt>
                <c:pt idx="16">
                  <c:v>1.334438E6</c:v>
                </c:pt>
                <c:pt idx="17">
                  <c:v>1.253392E6</c:v>
                </c:pt>
                <c:pt idx="18">
                  <c:v>1.306194E6</c:v>
                </c:pt>
                <c:pt idx="19">
                  <c:v>1.765807E6</c:v>
                </c:pt>
                <c:pt idx="20" formatCode="#,##0">
                  <c:v>2.446219E6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'Month S&amp;P'!$BH$12</c:f>
              <c:strCache>
                <c:ptCount val="1"/>
                <c:pt idx="0">
                  <c:v>Oct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S&amp;P'!$BI$12:$CD$12</c:f>
              <c:numCache>
                <c:formatCode>#,##0_);[Red]\(#,##0\)</c:formatCode>
                <c:ptCount val="22"/>
                <c:pt idx="0">
                  <c:v>630745.0</c:v>
                </c:pt>
                <c:pt idx="1">
                  <c:v>815869.0</c:v>
                </c:pt>
                <c:pt idx="2">
                  <c:v>950022.0</c:v>
                </c:pt>
                <c:pt idx="3">
                  <c:v>1.551438E6</c:v>
                </c:pt>
                <c:pt idx="4">
                  <c:v>1.335292E6</c:v>
                </c:pt>
                <c:pt idx="5">
                  <c:v>1.2722098E6</c:v>
                </c:pt>
                <c:pt idx="6">
                  <c:v>1.814872E6</c:v>
                </c:pt>
                <c:pt idx="7">
                  <c:v>1.2352324664E6</c:v>
                </c:pt>
                <c:pt idx="8">
                  <c:v>1.0159604704E6</c:v>
                </c:pt>
                <c:pt idx="9">
                  <c:v>1.26127779E6</c:v>
                </c:pt>
                <c:pt idx="10">
                  <c:v>1.042891E6</c:v>
                </c:pt>
                <c:pt idx="11">
                  <c:v>857407.0</c:v>
                </c:pt>
                <c:pt idx="12">
                  <c:v>1.158531E6</c:v>
                </c:pt>
                <c:pt idx="13">
                  <c:v>1.827875E6</c:v>
                </c:pt>
                <c:pt idx="14">
                  <c:v>1.070589E6</c:v>
                </c:pt>
                <c:pt idx="15">
                  <c:v>1.196138E6</c:v>
                </c:pt>
                <c:pt idx="16">
                  <c:v>1.311722E6</c:v>
                </c:pt>
                <c:pt idx="17">
                  <c:v>1.108342E6</c:v>
                </c:pt>
                <c:pt idx="18">
                  <c:v>1.51481E6</c:v>
                </c:pt>
                <c:pt idx="19">
                  <c:v>1.890034E6</c:v>
                </c:pt>
                <c:pt idx="20" formatCode="#,##0">
                  <c:v>2.676993E6</c:v>
                </c:pt>
                <c:pt idx="21" formatCode="#,##0">
                  <c:v>1.730173E6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'Month S&amp;P'!$BH$13</c:f>
              <c:strCache>
                <c:ptCount val="1"/>
                <c:pt idx="0">
                  <c:v>Nov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S&amp;P'!$BI$13:$CD$13</c:f>
              <c:numCache>
                <c:formatCode>#,##0_);[Red]\(#,##0\)</c:formatCode>
                <c:ptCount val="22"/>
                <c:pt idx="0">
                  <c:v>445415.0</c:v>
                </c:pt>
                <c:pt idx="1">
                  <c:v>853747.0</c:v>
                </c:pt>
                <c:pt idx="2">
                  <c:v>792560.0</c:v>
                </c:pt>
                <c:pt idx="3">
                  <c:v>1.72345E6</c:v>
                </c:pt>
                <c:pt idx="4">
                  <c:v>1.142785E6</c:v>
                </c:pt>
                <c:pt idx="5">
                  <c:v>1.2772226E6</c:v>
                </c:pt>
                <c:pt idx="6">
                  <c:v>1.97663E6</c:v>
                </c:pt>
                <c:pt idx="7">
                  <c:v>1.5835537136E6</c:v>
                </c:pt>
                <c:pt idx="8">
                  <c:v>1.365418944E6</c:v>
                </c:pt>
                <c:pt idx="9">
                  <c:v>1.15285985E6</c:v>
                </c:pt>
                <c:pt idx="10">
                  <c:v>1.013647E6</c:v>
                </c:pt>
                <c:pt idx="11">
                  <c:v>1.057871E6</c:v>
                </c:pt>
                <c:pt idx="12">
                  <c:v>967138.0</c:v>
                </c:pt>
                <c:pt idx="13">
                  <c:v>1.167283E6</c:v>
                </c:pt>
                <c:pt idx="14">
                  <c:v>1.31328E6</c:v>
                </c:pt>
                <c:pt idx="15">
                  <c:v>1.257326E6</c:v>
                </c:pt>
                <c:pt idx="16">
                  <c:v>894446.0</c:v>
                </c:pt>
                <c:pt idx="17">
                  <c:v>1.180779E6</c:v>
                </c:pt>
                <c:pt idx="18">
                  <c:v>1.62294E6</c:v>
                </c:pt>
                <c:pt idx="19">
                  <c:v>1.658112E6</c:v>
                </c:pt>
                <c:pt idx="20" formatCode="#,##0">
                  <c:v>1.992999E6</c:v>
                </c:pt>
                <c:pt idx="21" formatCode="#,##0">
                  <c:v>1.582971E6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'Month S&amp;P'!$BH$14</c:f>
              <c:strCache>
                <c:ptCount val="1"/>
                <c:pt idx="0">
                  <c:v>Dec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'Month S&amp;P'!$BI$2:$CD$2</c:f>
              <c:numCache>
                <c:formatCode>General</c:formatCode>
                <c:ptCount val="22"/>
                <c:pt idx="0">
                  <c:v>1988.0</c:v>
                </c:pt>
                <c:pt idx="1">
                  <c:v>1989.0</c:v>
                </c:pt>
                <c:pt idx="2">
                  <c:v>1990.0</c:v>
                </c:pt>
                <c:pt idx="3">
                  <c:v>1991.0</c:v>
                </c:pt>
                <c:pt idx="4">
                  <c:v>1992.0</c:v>
                </c:pt>
                <c:pt idx="5">
                  <c:v>1993.0</c:v>
                </c:pt>
                <c:pt idx="6">
                  <c:v>1994.0</c:v>
                </c:pt>
                <c:pt idx="7">
                  <c:v>1995.0</c:v>
                </c:pt>
                <c:pt idx="8">
                  <c:v>1996.0</c:v>
                </c:pt>
                <c:pt idx="9">
                  <c:v>1997.0</c:v>
                </c:pt>
                <c:pt idx="10">
                  <c:v>1998.0</c:v>
                </c:pt>
                <c:pt idx="11">
                  <c:v>1999.0</c:v>
                </c:pt>
                <c:pt idx="12">
                  <c:v>2000.0</c:v>
                </c:pt>
                <c:pt idx="13">
                  <c:v>2001.0</c:v>
                </c:pt>
                <c:pt idx="14">
                  <c:v>2002.0</c:v>
                </c:pt>
                <c:pt idx="15">
                  <c:v>2003.0</c:v>
                </c:pt>
                <c:pt idx="16">
                  <c:v>2004.0</c:v>
                </c:pt>
                <c:pt idx="17">
                  <c:v>2005.0</c:v>
                </c:pt>
                <c:pt idx="18">
                  <c:v>2006.0</c:v>
                </c:pt>
                <c:pt idx="19">
                  <c:v>2007.0</c:v>
                </c:pt>
                <c:pt idx="20">
                  <c:v>2008.0</c:v>
                </c:pt>
                <c:pt idx="21">
                  <c:v>2009.0</c:v>
                </c:pt>
              </c:numCache>
            </c:numRef>
          </c:cat>
          <c:val>
            <c:numRef>
              <c:f>'Month S&amp;P'!$BI$14:$CD$14</c:f>
              <c:numCache>
                <c:formatCode>#,##0_);[Red]\(#,##0\)</c:formatCode>
                <c:ptCount val="22"/>
                <c:pt idx="0">
                  <c:v>577807.0</c:v>
                </c:pt>
                <c:pt idx="1">
                  <c:v>763976.0</c:v>
                </c:pt>
                <c:pt idx="2">
                  <c:v>912067.0</c:v>
                </c:pt>
                <c:pt idx="3">
                  <c:v>1.596316E6</c:v>
                </c:pt>
                <c:pt idx="4">
                  <c:v>1.460414E6</c:v>
                </c:pt>
                <c:pt idx="5">
                  <c:v>1.2673418E6</c:v>
                </c:pt>
                <c:pt idx="6">
                  <c:v>1.657065E6</c:v>
                </c:pt>
                <c:pt idx="7">
                  <c:v>1.1596543356E6</c:v>
                </c:pt>
                <c:pt idx="8">
                  <c:v>1.1748802432E6</c:v>
                </c:pt>
                <c:pt idx="9">
                  <c:v>1.212117E6</c:v>
                </c:pt>
                <c:pt idx="10">
                  <c:v>1.012613E6</c:v>
                </c:pt>
                <c:pt idx="11">
                  <c:v>1.18018E6</c:v>
                </c:pt>
                <c:pt idx="12">
                  <c:v>1.218168E6</c:v>
                </c:pt>
                <c:pt idx="13">
                  <c:v>1.248664E6</c:v>
                </c:pt>
                <c:pt idx="14">
                  <c:v>1.085253E6</c:v>
                </c:pt>
                <c:pt idx="15">
                  <c:v>1.186632E6</c:v>
                </c:pt>
                <c:pt idx="16">
                  <c:v>1.010365E6</c:v>
                </c:pt>
                <c:pt idx="17">
                  <c:v>1.292775E6</c:v>
                </c:pt>
                <c:pt idx="18">
                  <c:v>1.381548E6</c:v>
                </c:pt>
                <c:pt idx="19">
                  <c:v>2.225883E6</c:v>
                </c:pt>
                <c:pt idx="20" formatCode="#,##0">
                  <c:v>2.39492E6</c:v>
                </c:pt>
                <c:pt idx="21" formatCode="#,##0">
                  <c:v>1.723064E6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3231928"/>
        <c:axId val="2082513400"/>
      </c:lineChart>
      <c:catAx>
        <c:axId val="208323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8251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82513400"/>
        <c:scaling>
          <c:orientation val="minMax"/>
          <c:max val="3.0E6"/>
          <c:min val="50000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8323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666666666667"/>
          <c:y val="0.189542483660131"/>
          <c:w val="0.0785185185185185"/>
          <c:h val="0.36819172113289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Sales - Profit - Disposal</a:t>
            </a:r>
          </a:p>
        </c:rich>
      </c:tx>
      <c:layout>
        <c:manualLayout>
          <c:xMode val="edge"/>
          <c:yMode val="edge"/>
          <c:x val="0.317037037037037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444444444444"/>
          <c:y val="0.148148148148148"/>
          <c:w val="0.665185185185185"/>
          <c:h val="0.70806100217864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'CAEE Data'!$A$41:$A$132</c:f>
              <c:numCache>
                <c:formatCode>mmm\-yy</c:formatCode>
                <c:ptCount val="92"/>
                <c:pt idx="0">
                  <c:v>35430.0</c:v>
                </c:pt>
                <c:pt idx="1">
                  <c:v>35461.0</c:v>
                </c:pt>
                <c:pt idx="2">
                  <c:v>35489.0</c:v>
                </c:pt>
                <c:pt idx="3">
                  <c:v>35520.0</c:v>
                </c:pt>
                <c:pt idx="4">
                  <c:v>35550.0</c:v>
                </c:pt>
                <c:pt idx="5">
                  <c:v>35581.0</c:v>
                </c:pt>
                <c:pt idx="6">
                  <c:v>35611.0</c:v>
                </c:pt>
                <c:pt idx="7">
                  <c:v>35642.0</c:v>
                </c:pt>
                <c:pt idx="8">
                  <c:v>35673.0</c:v>
                </c:pt>
                <c:pt idx="9">
                  <c:v>35703.0</c:v>
                </c:pt>
                <c:pt idx="10">
                  <c:v>35734.0</c:v>
                </c:pt>
                <c:pt idx="11">
                  <c:v>35764.0</c:v>
                </c:pt>
                <c:pt idx="12">
                  <c:v>35795.0</c:v>
                </c:pt>
                <c:pt idx="13">
                  <c:v>35826.0</c:v>
                </c:pt>
                <c:pt idx="14">
                  <c:v>35854.0</c:v>
                </c:pt>
                <c:pt idx="15">
                  <c:v>35885.0</c:v>
                </c:pt>
                <c:pt idx="16">
                  <c:v>35915.0</c:v>
                </c:pt>
                <c:pt idx="17">
                  <c:v>35946.0</c:v>
                </c:pt>
                <c:pt idx="18">
                  <c:v>35976.0</c:v>
                </c:pt>
                <c:pt idx="19">
                  <c:v>36007.0</c:v>
                </c:pt>
                <c:pt idx="20">
                  <c:v>36038.0</c:v>
                </c:pt>
                <c:pt idx="21">
                  <c:v>36068.0</c:v>
                </c:pt>
                <c:pt idx="22">
                  <c:v>36099.0</c:v>
                </c:pt>
                <c:pt idx="23">
                  <c:v>36129.0</c:v>
                </c:pt>
                <c:pt idx="24">
                  <c:v>36160.0</c:v>
                </c:pt>
                <c:pt idx="25">
                  <c:v>36191.0</c:v>
                </c:pt>
                <c:pt idx="26">
                  <c:v>36219.0</c:v>
                </c:pt>
                <c:pt idx="27">
                  <c:v>36250.0</c:v>
                </c:pt>
                <c:pt idx="28">
                  <c:v>36280.0</c:v>
                </c:pt>
                <c:pt idx="29">
                  <c:v>36311.0</c:v>
                </c:pt>
                <c:pt idx="30">
                  <c:v>36341.0</c:v>
                </c:pt>
                <c:pt idx="31">
                  <c:v>36372.0</c:v>
                </c:pt>
                <c:pt idx="32">
                  <c:v>36403.0</c:v>
                </c:pt>
                <c:pt idx="33">
                  <c:v>36433.0</c:v>
                </c:pt>
                <c:pt idx="34">
                  <c:v>36464.0</c:v>
                </c:pt>
                <c:pt idx="35">
                  <c:v>36494.0</c:v>
                </c:pt>
                <c:pt idx="36">
                  <c:v>36525.0</c:v>
                </c:pt>
                <c:pt idx="37">
                  <c:v>36556.0</c:v>
                </c:pt>
                <c:pt idx="38">
                  <c:v>36585.0</c:v>
                </c:pt>
                <c:pt idx="39">
                  <c:v>36616.0</c:v>
                </c:pt>
                <c:pt idx="40">
                  <c:v>36646.0</c:v>
                </c:pt>
                <c:pt idx="41">
                  <c:v>36677.0</c:v>
                </c:pt>
                <c:pt idx="42">
                  <c:v>36707.0</c:v>
                </c:pt>
                <c:pt idx="43">
                  <c:v>36738.0</c:v>
                </c:pt>
                <c:pt idx="44">
                  <c:v>36772.0</c:v>
                </c:pt>
                <c:pt idx="45">
                  <c:v>36802.0</c:v>
                </c:pt>
                <c:pt idx="46">
                  <c:v>36833.0</c:v>
                </c:pt>
                <c:pt idx="47">
                  <c:v>36863.0</c:v>
                </c:pt>
                <c:pt idx="48">
                  <c:v>36894.0</c:v>
                </c:pt>
                <c:pt idx="49">
                  <c:v>36925.0</c:v>
                </c:pt>
                <c:pt idx="50">
                  <c:v>36953.0</c:v>
                </c:pt>
                <c:pt idx="51">
                  <c:v>36984.0</c:v>
                </c:pt>
                <c:pt idx="52">
                  <c:v>37014.0</c:v>
                </c:pt>
                <c:pt idx="53">
                  <c:v>37045.0</c:v>
                </c:pt>
                <c:pt idx="54">
                  <c:v>37075.0</c:v>
                </c:pt>
                <c:pt idx="55">
                  <c:v>37106.0</c:v>
                </c:pt>
                <c:pt idx="56">
                  <c:v>37137.0</c:v>
                </c:pt>
                <c:pt idx="57">
                  <c:v>37167.0</c:v>
                </c:pt>
                <c:pt idx="58">
                  <c:v>37198.0</c:v>
                </c:pt>
                <c:pt idx="59">
                  <c:v>37228.0</c:v>
                </c:pt>
                <c:pt idx="60">
                  <c:v>37259.0</c:v>
                </c:pt>
                <c:pt idx="61">
                  <c:v>37290.0</c:v>
                </c:pt>
                <c:pt idx="62">
                  <c:v>37318.0</c:v>
                </c:pt>
                <c:pt idx="63">
                  <c:v>37349.0</c:v>
                </c:pt>
                <c:pt idx="64">
                  <c:v>37379.0</c:v>
                </c:pt>
                <c:pt idx="65">
                  <c:v>37410.0</c:v>
                </c:pt>
                <c:pt idx="66">
                  <c:v>37440.0</c:v>
                </c:pt>
                <c:pt idx="67">
                  <c:v>37471.0</c:v>
                </c:pt>
                <c:pt idx="68">
                  <c:v>37502.0</c:v>
                </c:pt>
                <c:pt idx="69">
                  <c:v>37532.0</c:v>
                </c:pt>
                <c:pt idx="70">
                  <c:v>37563.0</c:v>
                </c:pt>
                <c:pt idx="71">
                  <c:v>37593.0</c:v>
                </c:pt>
                <c:pt idx="72">
                  <c:v>37624.0</c:v>
                </c:pt>
                <c:pt idx="73">
                  <c:v>37655.0</c:v>
                </c:pt>
                <c:pt idx="74">
                  <c:v>37683.0</c:v>
                </c:pt>
                <c:pt idx="75">
                  <c:v>37714.0</c:v>
                </c:pt>
                <c:pt idx="76">
                  <c:v>37744.0</c:v>
                </c:pt>
                <c:pt idx="77">
                  <c:v>37775.0</c:v>
                </c:pt>
                <c:pt idx="78">
                  <c:v>37805.0</c:v>
                </c:pt>
                <c:pt idx="79">
                  <c:v>37836.0</c:v>
                </c:pt>
                <c:pt idx="80">
                  <c:v>37867.0</c:v>
                </c:pt>
                <c:pt idx="81">
                  <c:v>37897.0</c:v>
                </c:pt>
                <c:pt idx="82">
                  <c:v>37928.0</c:v>
                </c:pt>
                <c:pt idx="83">
                  <c:v>37958.0</c:v>
                </c:pt>
                <c:pt idx="84">
                  <c:v>37989.0</c:v>
                </c:pt>
                <c:pt idx="85">
                  <c:v>38020.0</c:v>
                </c:pt>
                <c:pt idx="86">
                  <c:v>38049.0</c:v>
                </c:pt>
                <c:pt idx="87">
                  <c:v>38080.0</c:v>
                </c:pt>
                <c:pt idx="88">
                  <c:v>38110.0</c:v>
                </c:pt>
                <c:pt idx="89">
                  <c:v>38141.0</c:v>
                </c:pt>
                <c:pt idx="90">
                  <c:v>38171.0</c:v>
                </c:pt>
                <c:pt idx="91">
                  <c:v>38202.0</c:v>
                </c:pt>
              </c:numCache>
            </c:numRef>
          </c:cat>
          <c:val>
            <c:numRef>
              <c:f>'CAEE Data'!$AA$41:$AA$132</c:f>
              <c:numCache>
                <c:formatCode>"$"#,##0_);[Red]\("$"#,##0\)</c:formatCode>
                <c:ptCount val="92"/>
                <c:pt idx="0">
                  <c:v>63532.41666666666</c:v>
                </c:pt>
                <c:pt idx="1">
                  <c:v>69944.58333333333</c:v>
                </c:pt>
                <c:pt idx="2">
                  <c:v>66891.83333333333</c:v>
                </c:pt>
                <c:pt idx="3">
                  <c:v>71094.91666666667</c:v>
                </c:pt>
                <c:pt idx="4">
                  <c:v>68072.0</c:v>
                </c:pt>
                <c:pt idx="5">
                  <c:v>75823.16666666667</c:v>
                </c:pt>
                <c:pt idx="6">
                  <c:v>77223.75</c:v>
                </c:pt>
                <c:pt idx="7">
                  <c:v>83195.5</c:v>
                </c:pt>
                <c:pt idx="8">
                  <c:v>84150.33333333333</c:v>
                </c:pt>
                <c:pt idx="9">
                  <c:v>89488.08333333333</c:v>
                </c:pt>
                <c:pt idx="10">
                  <c:v>93215.83333333333</c:v>
                </c:pt>
                <c:pt idx="11">
                  <c:v>91630.75</c:v>
                </c:pt>
                <c:pt idx="12">
                  <c:v>92638.0</c:v>
                </c:pt>
                <c:pt idx="13">
                  <c:v>90141.25</c:v>
                </c:pt>
                <c:pt idx="14">
                  <c:v>93198.25</c:v>
                </c:pt>
                <c:pt idx="15">
                  <c:v>86597.0</c:v>
                </c:pt>
                <c:pt idx="16">
                  <c:v>90756.83333333333</c:v>
                </c:pt>
                <c:pt idx="17">
                  <c:v>83048.66666666667</c:v>
                </c:pt>
                <c:pt idx="18">
                  <c:v>82303.41666666667</c:v>
                </c:pt>
                <c:pt idx="19">
                  <c:v>79143.33333333333</c:v>
                </c:pt>
                <c:pt idx="20">
                  <c:v>80096.08333333333</c:v>
                </c:pt>
                <c:pt idx="21">
                  <c:v>81848.33333333333</c:v>
                </c:pt>
                <c:pt idx="22">
                  <c:v>83167.08333333333</c:v>
                </c:pt>
                <c:pt idx="23">
                  <c:v>84202.83333333333</c:v>
                </c:pt>
                <c:pt idx="24">
                  <c:v>85424.91666666667</c:v>
                </c:pt>
                <c:pt idx="25">
                  <c:v>85210.0</c:v>
                </c:pt>
                <c:pt idx="26">
                  <c:v>88480.83333333333</c:v>
                </c:pt>
                <c:pt idx="27">
                  <c:v>95534.83333333333</c:v>
                </c:pt>
                <c:pt idx="28">
                  <c:v>97915.41666666667</c:v>
                </c:pt>
                <c:pt idx="29">
                  <c:v>106671.75</c:v>
                </c:pt>
                <c:pt idx="30">
                  <c:v>110318.3333333333</c:v>
                </c:pt>
                <c:pt idx="31">
                  <c:v>112951.5</c:v>
                </c:pt>
                <c:pt idx="32">
                  <c:v>114015.0</c:v>
                </c:pt>
                <c:pt idx="33">
                  <c:v>118381.5</c:v>
                </c:pt>
                <c:pt idx="34">
                  <c:v>118073.8333333333</c:v>
                </c:pt>
                <c:pt idx="35">
                  <c:v>119153.75</c:v>
                </c:pt>
                <c:pt idx="36">
                  <c:v>118872.25</c:v>
                </c:pt>
                <c:pt idx="37">
                  <c:v>117636.5833333333</c:v>
                </c:pt>
                <c:pt idx="38">
                  <c:v>112969.8333333333</c:v>
                </c:pt>
                <c:pt idx="39">
                  <c:v>105753.6666666667</c:v>
                </c:pt>
                <c:pt idx="40">
                  <c:v>101025.25</c:v>
                </c:pt>
                <c:pt idx="41">
                  <c:v>94657.41666666667</c:v>
                </c:pt>
                <c:pt idx="42">
                  <c:v>93815.75</c:v>
                </c:pt>
                <c:pt idx="43">
                  <c:v>90731.25</c:v>
                </c:pt>
                <c:pt idx="44">
                  <c:v>86736.33333333333</c:v>
                </c:pt>
                <c:pt idx="45">
                  <c:v>86099.66666666667</c:v>
                </c:pt>
                <c:pt idx="46">
                  <c:v>86725.08333333333</c:v>
                </c:pt>
                <c:pt idx="47">
                  <c:v>83952.91666666667</c:v>
                </c:pt>
                <c:pt idx="48">
                  <c:v>82865.16666666667</c:v>
                </c:pt>
                <c:pt idx="49">
                  <c:v>84326.5</c:v>
                </c:pt>
                <c:pt idx="50">
                  <c:v>87184.66666666667</c:v>
                </c:pt>
                <c:pt idx="51">
                  <c:v>90361.25</c:v>
                </c:pt>
                <c:pt idx="52">
                  <c:v>95482.66666666667</c:v>
                </c:pt>
                <c:pt idx="53">
                  <c:v>97313.0</c:v>
                </c:pt>
                <c:pt idx="54">
                  <c:v>100287.0833333333</c:v>
                </c:pt>
                <c:pt idx="55">
                  <c:v>104319.8333333333</c:v>
                </c:pt>
                <c:pt idx="56">
                  <c:v>114625.5</c:v>
                </c:pt>
                <c:pt idx="57">
                  <c:v>113119.8333333333</c:v>
                </c:pt>
                <c:pt idx="58">
                  <c:v>122548.5833333333</c:v>
                </c:pt>
                <c:pt idx="59">
                  <c:v>121971.0</c:v>
                </c:pt>
                <c:pt idx="60">
                  <c:v>126421.4166666667</c:v>
                </c:pt>
                <c:pt idx="61">
                  <c:v>122367.6666666667</c:v>
                </c:pt>
                <c:pt idx="62">
                  <c:v>123695.5</c:v>
                </c:pt>
                <c:pt idx="63">
                  <c:v>121884.5</c:v>
                </c:pt>
                <c:pt idx="64">
                  <c:v>130302.3333333333</c:v>
                </c:pt>
                <c:pt idx="65">
                  <c:v>136391.1666666667</c:v>
                </c:pt>
                <c:pt idx="66">
                  <c:v>133298.9166666667</c:v>
                </c:pt>
                <c:pt idx="67">
                  <c:v>130550.0833333333</c:v>
                </c:pt>
                <c:pt idx="68">
                  <c:v>122870.3333333333</c:v>
                </c:pt>
                <c:pt idx="69">
                  <c:v>125302.4166666667</c:v>
                </c:pt>
                <c:pt idx="70">
                  <c:v>117852.0833333333</c:v>
                </c:pt>
                <c:pt idx="71">
                  <c:v>118231.5833333333</c:v>
                </c:pt>
                <c:pt idx="72">
                  <c:v>116904.5</c:v>
                </c:pt>
                <c:pt idx="73">
                  <c:v>120232.3333333333</c:v>
                </c:pt>
                <c:pt idx="74">
                  <c:v>119452.1666666667</c:v>
                </c:pt>
                <c:pt idx="75">
                  <c:v>121882.4166666667</c:v>
                </c:pt>
                <c:pt idx="76">
                  <c:v>108911.25</c:v>
                </c:pt>
                <c:pt idx="77">
                  <c:v>102531.8333333333</c:v>
                </c:pt>
                <c:pt idx="78">
                  <c:v>102501.5833333333</c:v>
                </c:pt>
                <c:pt idx="79">
                  <c:v>105474.0</c:v>
                </c:pt>
                <c:pt idx="80">
                  <c:v>108792.5833333333</c:v>
                </c:pt>
                <c:pt idx="81">
                  <c:v>110937.1666666667</c:v>
                </c:pt>
                <c:pt idx="82">
                  <c:v>115005.0833333333</c:v>
                </c:pt>
                <c:pt idx="83">
                  <c:v>122305.8333333333</c:v>
                </c:pt>
                <c:pt idx="84">
                  <c:v>124764.3333333333</c:v>
                </c:pt>
                <c:pt idx="85">
                  <c:v>128856.1666666667</c:v>
                </c:pt>
                <c:pt idx="86">
                  <c:v>131105.25</c:v>
                </c:pt>
                <c:pt idx="87">
                  <c:v>137422.1666666667</c:v>
                </c:pt>
                <c:pt idx="88">
                  <c:v>138686.0</c:v>
                </c:pt>
                <c:pt idx="89">
                  <c:v>143099.25</c:v>
                </c:pt>
                <c:pt idx="90">
                  <c:v>148531.0</c:v>
                </c:pt>
                <c:pt idx="91">
                  <c:v>147720.75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2767192"/>
        <c:axId val="2092653864"/>
      </c:lineChart>
      <c:dateAx>
        <c:axId val="2092767192"/>
        <c:scaling>
          <c:orientation val="minMax"/>
          <c:max val="40148.0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92653864"/>
        <c:crosses val="autoZero"/>
        <c:auto val="1"/>
        <c:lblOffset val="100"/>
        <c:baseTimeUnit val="months"/>
        <c:majorUnit val="6.0"/>
        <c:majorTimeUnit val="months"/>
        <c:minorUnit val="3.0"/>
        <c:minorTimeUnit val="months"/>
      </c:dateAx>
      <c:valAx>
        <c:axId val="2092653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_);[Red]\(&quot;$&quot;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9276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481481481481"/>
          <c:y val="0.459694989106754"/>
          <c:w val="0.192592592592593"/>
          <c:h val="0.0849673202614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chart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chart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chart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/>
  <sheetViews>
    <sheetView zoomScale="204" workbookViewId="0" zoomToFit="1"/>
  </sheetViews>
  <pageMargins left="0.46" right="0.16" top="1" bottom="1" header="0.5" footer="0.5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3"/>
  <sheetViews>
    <sheetView zoomScale="204" workbookViewId="0" zoomToFit="1"/>
  </sheetViews>
  <pageMargins left="0.46" right="0.16" top="1" bottom="1" header="0.5" footer="0.5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4"/>
  <sheetViews>
    <sheetView zoomScale="131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5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6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7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&amp;L&amp;"Geneva,Bold"CAE Confidential&amp;R&amp;D</oddFooter>
  </headerFooter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8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9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0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2"/>
  <sheetViews>
    <sheetView zoomScale="204" workbookViewId="0" zoomToFit="1"/>
  </sheetViews>
  <pageMargins left="0.75" right="0.75" top="1" bottom="1" header="0.5" footer="0.5"/>
  <headerFooter>
    <oddHeader>&amp;A</oddHeader>
    <oddFooter>Page &amp;P</oddFooter>
  </headerFooter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13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11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14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Chart15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16"/>
  <sheetViews>
    <sheetView zoomScale="127" workbookViewId="0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17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18"/>
  <sheetViews>
    <sheetView zoomScale="204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/>
  <sheetViews>
    <sheetView tabSelected="1" zoomScale="145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/>
  <sheetViews>
    <sheetView zoomScale="156" workbookViewId="0"/>
  </sheetViews>
  <pageMargins left="0.75" right="0.75" top="1" bottom="1" header="0.5" footer="0.5"/>
  <pageSetup orientation="landscape" horizontalDpi="4294967292" verticalDpi="4294967292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21"/>
  <sheetViews>
    <sheetView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22"/>
  <sheetViews>
    <sheetView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23"/>
  <sheetViews>
    <sheetView workbookViewId="0" zoomToFit="1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 codeName="Chart24"/>
  <sheetViews>
    <sheetView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 codeName="Chart25"/>
  <sheetViews>
    <sheetView zoomScale="210" workbookViewId="0" zoomToFit="1"/>
  </sheetViews>
  <pageMargins left="0.75" right="0.75" top="1" bottom="1" header="0.5" footer="0.5"/>
  <pageSetup orientation="landscape" horizontalDpi="4294967292" verticalDpi="4294967292"/>
  <drawing r:id="rId1"/>
</chartsheet>
</file>

<file path=xl/chartsheets/sheet26.xml><?xml version="1.0" encoding="utf-8"?>
<chartsheet xmlns="http://schemas.openxmlformats.org/spreadsheetml/2006/main" xmlns:r="http://schemas.openxmlformats.org/officeDocument/2006/relationships">
  <sheetPr/>
  <sheetViews>
    <sheetView zoomScale="156" workbookViewId="0"/>
  </sheetViews>
  <pageMargins left="0.75" right="0.75" top="1" bottom="1" header="0.5" footer="0.5"/>
  <pageSetup orientation="landscape" horizontalDpi="4294967292" verticalDpi="4294967292"/>
  <headerFooter>
    <oddHeader>&amp;A</oddHeader>
    <oddFooter>Page &amp;P</oddFooter>
  </headerFooter>
  <drawing r:id="rId1"/>
</chartsheet>
</file>

<file path=xl/chartsheets/sheet27.xml><?xml version="1.0" encoding="utf-8"?>
<chartsheet xmlns="http://schemas.openxmlformats.org/spreadsheetml/2006/main" xmlns:r="http://schemas.openxmlformats.org/officeDocument/2006/relationships">
  <sheetPr/>
  <sheetViews>
    <sheetView zoomScale="165" workbookViewId="0"/>
  </sheetViews>
  <pageMargins left="0.75" right="0.75" top="1" bottom="1" header="0.5" footer="0.5"/>
  <drawing r:id="rId1"/>
</chartsheet>
</file>

<file path=xl/chartsheets/sheet2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4" Type="http://schemas.openxmlformats.org/officeDocument/2006/relationships/chart" Target="../charts/chart36.xml"/><Relationship Id="rId5" Type="http://schemas.openxmlformats.org/officeDocument/2006/relationships/chart" Target="../charts/chart37.xml"/><Relationship Id="rId6" Type="http://schemas.openxmlformats.org/officeDocument/2006/relationships/chart" Target="../charts/chart38.xml"/><Relationship Id="rId1" Type="http://schemas.openxmlformats.org/officeDocument/2006/relationships/chart" Target="../charts/chart33.xml"/><Relationship Id="rId2" Type="http://schemas.openxmlformats.org/officeDocument/2006/relationships/chart" Target="../charts/chart34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Relationship Id="rId2" Type="http://schemas.openxmlformats.org/officeDocument/2006/relationships/chart" Target="../charts/chart40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64</xdr:row>
      <xdr:rowOff>12700</xdr:rowOff>
    </xdr:from>
    <xdr:to>
      <xdr:col>17</xdr:col>
      <xdr:colOff>0</xdr:colOff>
      <xdr:row>71</xdr:row>
      <xdr:rowOff>101600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111</xdr:col>
      <xdr:colOff>355600</xdr:colOff>
      <xdr:row>17</xdr:row>
      <xdr:rowOff>127000</xdr:rowOff>
    </xdr:from>
    <xdr:to>
      <xdr:col>122</xdr:col>
      <xdr:colOff>508000</xdr:colOff>
      <xdr:row>49</xdr:row>
      <xdr:rowOff>139700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158</xdr:col>
      <xdr:colOff>241300</xdr:colOff>
      <xdr:row>15</xdr:row>
      <xdr:rowOff>88900</xdr:rowOff>
    </xdr:from>
    <xdr:to>
      <xdr:col>176</xdr:col>
      <xdr:colOff>444500</xdr:colOff>
      <xdr:row>44</xdr:row>
      <xdr:rowOff>101600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143</xdr:col>
      <xdr:colOff>368300</xdr:colOff>
      <xdr:row>16</xdr:row>
      <xdr:rowOff>12700</xdr:rowOff>
    </xdr:from>
    <xdr:to>
      <xdr:col>153</xdr:col>
      <xdr:colOff>0</xdr:colOff>
      <xdr:row>45</xdr:row>
      <xdr:rowOff>12700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304800</xdr:colOff>
      <xdr:row>103</xdr:row>
      <xdr:rowOff>152400</xdr:rowOff>
    </xdr:from>
    <xdr:to>
      <xdr:col>61</xdr:col>
      <xdr:colOff>647700</xdr:colOff>
      <xdr:row>128</xdr:row>
      <xdr:rowOff>50800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62</xdr:col>
      <xdr:colOff>165100</xdr:colOff>
      <xdr:row>82</xdr:row>
      <xdr:rowOff>127000</xdr:rowOff>
    </xdr:from>
    <xdr:to>
      <xdr:col>106</xdr:col>
      <xdr:colOff>190500</xdr:colOff>
      <xdr:row>127</xdr:row>
      <xdr:rowOff>25400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952500</xdr:colOff>
      <xdr:row>325</xdr:row>
      <xdr:rowOff>127000</xdr:rowOff>
    </xdr:from>
    <xdr:to>
      <xdr:col>7</xdr:col>
      <xdr:colOff>901700</xdr:colOff>
      <xdr:row>331</xdr:row>
      <xdr:rowOff>50800</xdr:rowOff>
    </xdr:to>
    <xdr:sp macro="" textlink="">
      <xdr:nvSpPr>
        <xdr:cNvPr id="2" name="Rectangle -1023"/>
        <xdr:cNvSpPr>
          <a:spLocks noChangeArrowheads="1"/>
        </xdr:cNvSpPr>
      </xdr:nvSpPr>
      <xdr:spPr bwMode="auto">
        <a:xfrm>
          <a:off x="4965700" y="50495200"/>
          <a:ext cx="284480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0.71826</cdr:x>
      <cdr:y>0.50074</cdr:y>
    </cdr:from>
    <cdr:to>
      <cdr:x>0.72841</cdr:x>
      <cdr:y>0.54273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7223" y="2874429"/>
          <a:ext cx="101667" cy="2410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0.00156</cdr:x>
      <cdr:y>0.05497</cdr:y>
    </cdr:from>
    <cdr:to>
      <cdr:x>0.05364</cdr:x>
      <cdr:y>0.10675</cdr:y>
    </cdr:to>
    <cdr:sp macro="" textlink="">
      <cdr:nvSpPr>
        <cdr:cNvPr id="2050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04940"/>
          <a:ext cx="1700079" cy="381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12 Month Rolling Average</a:t>
          </a:r>
        </a:p>
        <a:p xmlns:a="http://schemas.openxmlformats.org/drawingml/2006/main">
          <a:pPr algn="ctr" rtl="0">
            <a:defRPr sz="1000"/>
          </a:pPr>
          <a:endParaRPr lang="en-US" sz="1000" b="0" i="0" u="sng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0.00156</cdr:x>
      <cdr:y>0.97066</cdr:y>
    </cdr:from>
    <cdr:to>
      <cdr:x>0.04392</cdr:x>
      <cdr:y>1</cdr:y>
    </cdr:to>
    <cdr:sp macro="" textlink="">
      <cdr:nvSpPr>
        <cdr:cNvPr id="2076" name="Text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7315200"/>
          <a:ext cx="1382840" cy="2161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Winter Months Holes</a:t>
          </a:r>
        </a:p>
      </cdr:txBody>
    </cdr:sp>
  </cdr:relSizeAnchor>
  <cdr:relSizeAnchor xmlns:cdr="http://schemas.openxmlformats.org/drawingml/2006/chartDrawing">
    <cdr:from>
      <cdr:x>0.00156</cdr:x>
      <cdr:y>0.9931</cdr:y>
    </cdr:from>
    <cdr:to>
      <cdr:x>0.00156</cdr:x>
      <cdr:y>0.9931</cdr:y>
    </cdr:to>
    <cdr:sp macro="" textlink="">
      <cdr:nvSpPr>
        <cdr:cNvPr id="207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0800" y="731520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0.00156</cdr:x>
      <cdr:y>0.9931</cdr:y>
    </cdr:from>
    <cdr:to>
      <cdr:x>0.00156</cdr:x>
      <cdr:y>0.9931</cdr:y>
    </cdr:to>
    <cdr:sp macro="" textlink="">
      <cdr:nvSpPr>
        <cdr:cNvPr id="2080" name="Line 3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0800" y="731520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0.00156</cdr:x>
      <cdr:y>0.9931</cdr:y>
    </cdr:from>
    <cdr:to>
      <cdr:x>0.00156</cdr:x>
      <cdr:y>0.9931</cdr:y>
    </cdr:to>
    <cdr:sp macro="" textlink="">
      <cdr:nvSpPr>
        <cdr:cNvPr id="2081" name="Arc 33"/>
        <cdr:cNvSpPr>
          <a:spLocks xmlns:a="http://schemas.openxmlformats.org/drawingml/2006/main"/>
        </cdr:cNvSpPr>
      </cdr:nvSpPr>
      <cdr:spPr bwMode="auto">
        <a:xfrm xmlns:a="http://schemas.openxmlformats.org/drawingml/2006/main" flipV="1">
          <a:off x="50800" y="7315200"/>
          <a:ext cx="0" cy="0"/>
        </a:xfrm>
        <a:custGeom xmlns:a="http://schemas.openxmlformats.org/drawingml/2006/main">
          <a:avLst/>
          <a:gdLst>
            <a:gd name="G0" fmla="+- 0 0 0"/>
            <a:gd name="G1" fmla="+- 21600 0 0"/>
            <a:gd name="G2" fmla="+- 21600 0 0"/>
            <a:gd name="T0" fmla="*/ 0 w 21600"/>
            <a:gd name="T1" fmla="*/ 0 h 21600"/>
            <a:gd name="T2" fmla="*/ 21600 w 21600"/>
            <a:gd name="T3" fmla="*/ 21600 h 21600"/>
            <a:gd name="T4" fmla="*/ 0 w 21600"/>
            <a:gd name="T5" fmla="*/ 21600 h 216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21600" h="21600" fill="none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</a:path>
            <a:path w="21600" h="21600" stroke="0" extrusionOk="0">
              <a:moveTo>
                <a:pt x="0" y="-1"/>
              </a:moveTo>
              <a:cubicBezTo>
                <a:pt x="11929" y="-1"/>
                <a:pt x="21600" y="9670"/>
                <a:pt x="21600" y="21600"/>
              </a:cubicBezTo>
              <a:lnTo>
                <a:pt x="0" y="21600"/>
              </a:lnTo>
              <a:close/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cdr:spPr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0.34525</cdr:x>
      <cdr:y>0.27525</cdr:y>
    </cdr:from>
    <cdr:to>
      <cdr:x>1</cdr:x>
      <cdr:y>0.39225</cdr:y>
    </cdr:to>
    <cdr:sp macro="" textlink="">
      <cdr:nvSpPr>
        <cdr:cNvPr id="849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9847" y="1345835"/>
          <a:ext cx="5612844" cy="572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375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&lt;&lt; Paradise &gt;&gt;</a:t>
          </a:r>
        </a:p>
      </cdr:txBody>
    </cdr:sp>
  </cdr:relSizeAnchor>
  <cdr:relSizeAnchor xmlns:cdr="http://schemas.openxmlformats.org/drawingml/2006/chartDrawing">
    <cdr:from>
      <cdr:x>0.403</cdr:x>
      <cdr:y>0.87275</cdr:y>
    </cdr:from>
    <cdr:to>
      <cdr:x>0.5185</cdr:x>
      <cdr:y>0.95075</cdr:y>
    </cdr:to>
    <cdr:sp macro="" textlink="">
      <cdr:nvSpPr>
        <cdr:cNvPr id="849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718" y="4267311"/>
          <a:ext cx="990123" cy="381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The Wilderness 2</a:t>
          </a:r>
        </a:p>
        <a:p xmlns:a="http://schemas.openxmlformats.org/drawingml/2006/main">
          <a:pPr algn="ctr" rtl="0">
            <a:defRPr sz="1000"/>
          </a:pPr>
          <a:endParaRPr lang="en-US" sz="850" b="0" i="0" u="none" strike="noStrike" baseline="0">
            <a:solidFill>
              <a:srgbClr val="FFFFFF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0.69571</cdr:x>
      <cdr:y>0.60183</cdr:y>
    </cdr:from>
    <cdr:to>
      <cdr:x>0.91346</cdr:x>
      <cdr:y>0.64248</cdr:y>
    </cdr:to>
    <cdr:sp macro="" textlink="">
      <cdr:nvSpPr>
        <cdr:cNvPr id="849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3952" y="3510670"/>
          <a:ext cx="1866661" cy="237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&lt;&lt; The Quality Transformation &gt;&gt;</a:t>
          </a:r>
        </a:p>
      </cdr:txBody>
    </cdr:sp>
  </cdr:relSizeAnchor>
  <cdr:relSizeAnchor xmlns:cdr="http://schemas.openxmlformats.org/drawingml/2006/chartDrawing">
    <cdr:from>
      <cdr:x>0.17325</cdr:x>
      <cdr:y>0.3765</cdr:y>
    </cdr:from>
    <cdr:to>
      <cdr:x>0.42825</cdr:x>
      <cdr:y>0.42075</cdr:y>
    </cdr:to>
    <cdr:sp macro="" textlink="">
      <cdr:nvSpPr>
        <cdr:cNvPr id="8499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5186" y="1840897"/>
          <a:ext cx="2185987" cy="216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&lt;&lt;&lt;       Bid &amp; Hope Land        &gt;&gt;&gt;</a:t>
          </a:r>
        </a:p>
      </cdr:txBody>
    </cdr:sp>
  </cdr:relSizeAnchor>
  <cdr:relSizeAnchor xmlns:cdr="http://schemas.openxmlformats.org/drawingml/2006/chartDrawing">
    <cdr:from>
      <cdr:x>0.49625</cdr:x>
      <cdr:y>0.27525</cdr:y>
    </cdr:from>
    <cdr:to>
      <cdr:x>0.54675</cdr:x>
      <cdr:y>0.3195</cdr:y>
    </cdr:to>
    <cdr:sp macro="" textlink="">
      <cdr:nvSpPr>
        <cdr:cNvPr id="849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4103" y="1345835"/>
          <a:ext cx="432911" cy="216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2001</a:t>
          </a:r>
        </a:p>
      </cdr:txBody>
    </cdr:sp>
  </cdr:relSizeAnchor>
  <cdr:relSizeAnchor xmlns:cdr="http://schemas.openxmlformats.org/drawingml/2006/chartDrawing">
    <cdr:from>
      <cdr:x>0.3955</cdr:x>
      <cdr:y>0.265</cdr:y>
    </cdr:from>
    <cdr:to>
      <cdr:x>0.446</cdr:x>
      <cdr:y>0.309</cdr:y>
    </cdr:to>
    <cdr:sp macro="" textlink="">
      <cdr:nvSpPr>
        <cdr:cNvPr id="849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0424" y="1295718"/>
          <a:ext cx="432911" cy="215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5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2000</a:t>
          </a:r>
        </a:p>
      </cdr:txBody>
    </cdr:sp>
  </cdr:relSizeAnchor>
  <cdr:relSizeAnchor xmlns:cdr="http://schemas.openxmlformats.org/drawingml/2006/chartDrawing">
    <cdr:from>
      <cdr:x>0.443</cdr:x>
      <cdr:y>0.83125</cdr:y>
    </cdr:from>
    <cdr:to>
      <cdr:x>0.489</cdr:x>
      <cdr:y>0.87525</cdr:y>
    </cdr:to>
    <cdr:sp macro="" textlink="">
      <cdr:nvSpPr>
        <cdr:cNvPr id="8499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7618" y="4064397"/>
          <a:ext cx="394335" cy="215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1998</a:t>
          </a:r>
        </a:p>
      </cdr:txBody>
    </cdr:sp>
  </cdr:relSizeAnchor>
  <cdr:relSizeAnchor xmlns:cdr="http://schemas.openxmlformats.org/drawingml/2006/chartDrawing">
    <cdr:from>
      <cdr:x>0.6475</cdr:x>
      <cdr:y>0.83125</cdr:y>
    </cdr:from>
    <cdr:to>
      <cdr:x>0.7275</cdr:x>
      <cdr:y>0.909</cdr:y>
    </cdr:to>
    <cdr:sp macro="" textlink="">
      <cdr:nvSpPr>
        <cdr:cNvPr id="850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0694" y="4064397"/>
          <a:ext cx="685800" cy="3801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In the </a:t>
          </a:r>
        </a:p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Parking Lot</a:t>
          </a:r>
        </a:p>
      </cdr:txBody>
    </cdr:sp>
  </cdr:relSizeAnchor>
  <cdr:relSizeAnchor xmlns:cdr="http://schemas.openxmlformats.org/drawingml/2006/chartDrawing">
    <cdr:from>
      <cdr:x>0.71675</cdr:x>
      <cdr:y>0.7375</cdr:y>
    </cdr:from>
    <cdr:to>
      <cdr:x>0.942</cdr:x>
      <cdr:y>0.8465</cdr:y>
    </cdr:to>
    <cdr:sp macro="" textlink="">
      <cdr:nvSpPr>
        <cdr:cNvPr id="850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44339" y="3606006"/>
          <a:ext cx="1930956" cy="53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3366FF"/>
              </a:solidFill>
              <a:latin typeface="Geneva"/>
              <a:ea typeface="Geneva"/>
              <a:cs typeface="Geneva"/>
            </a:rPr>
            <a:t>Blue Ribbon Team</a:t>
          </a:r>
        </a:p>
      </cdr:txBody>
    </cdr:sp>
  </cdr:relSizeAnchor>
  <cdr:relSizeAnchor xmlns:cdr="http://schemas.openxmlformats.org/drawingml/2006/chartDrawing">
    <cdr:from>
      <cdr:x>0.56775</cdr:x>
      <cdr:y>0.74675</cdr:y>
    </cdr:from>
    <cdr:to>
      <cdr:x>0.744</cdr:x>
      <cdr:y>0.85575</cdr:y>
    </cdr:to>
    <cdr:sp macro="" textlink="">
      <cdr:nvSpPr>
        <cdr:cNvPr id="8500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7037" y="3651234"/>
          <a:ext cx="1510903" cy="53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1" i="0" u="none" strike="noStrike" baseline="0">
              <a:solidFill>
                <a:srgbClr val="1FB714"/>
              </a:solidFill>
              <a:latin typeface="Geneva"/>
              <a:ea typeface="Geneva"/>
              <a:cs typeface="Geneva"/>
            </a:rPr>
            <a:t>Green Ribbon Team</a:t>
          </a:r>
        </a:p>
      </cdr:txBody>
    </cdr:sp>
  </cdr:relSizeAnchor>
  <cdr:relSizeAnchor xmlns:cdr="http://schemas.openxmlformats.org/drawingml/2006/chartDrawing">
    <cdr:from>
      <cdr:x>0.50225</cdr:x>
      <cdr:y>0.50125</cdr:y>
    </cdr:from>
    <cdr:to>
      <cdr:x>0.53175</cdr:x>
      <cdr:y>0.5455</cdr:y>
    </cdr:to>
    <cdr:sp macro="" textlink="">
      <cdr:nvSpPr>
        <cdr:cNvPr id="850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5538" y="2450862"/>
          <a:ext cx="252889" cy="216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</a:t>
          </a:r>
        </a:p>
      </cdr:txBody>
    </cdr:sp>
  </cdr:relSizeAnchor>
  <cdr:relSizeAnchor xmlns:cdr="http://schemas.openxmlformats.org/drawingml/2006/chartDrawing">
    <cdr:from>
      <cdr:x>0.794</cdr:x>
      <cdr:y>0.08575</cdr:y>
    </cdr:from>
    <cdr:to>
      <cdr:x>0.843</cdr:x>
      <cdr:y>0.12975</cdr:y>
    </cdr:to>
    <cdr:sp macro="" textlink="">
      <cdr:nvSpPr>
        <cdr:cNvPr id="850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06565" y="419275"/>
          <a:ext cx="420053" cy="215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2008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95049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0.12675</cdr:x>
      <cdr:y>0.5355</cdr:y>
    </cdr:from>
    <cdr:to>
      <cdr:x>0.788</cdr:x>
      <cdr:y>0.5355</cdr:y>
    </cdr:to>
    <cdr:sp macro="" textlink="">
      <cdr:nvSpPr>
        <cdr:cNvPr id="15462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87977" y="3121590"/>
          <a:ext cx="61976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6411" mc:Ignorable="a14" a14:legacySpreadsheetColorIndex="17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195049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0.12675</cdr:x>
      <cdr:y>0.538</cdr:y>
    </cdr:from>
    <cdr:to>
      <cdr:x>0.788</cdr:x>
      <cdr:y>0.538</cdr:y>
    </cdr:to>
    <cdr:sp macro="" textlink="">
      <cdr:nvSpPr>
        <cdr:cNvPr id="6451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87977" y="3136163"/>
          <a:ext cx="61976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006411" mc:Ignorable="a14" a14:legacySpreadsheetColorIndex="17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9771" cy="58361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0.5095</cdr:x>
      <cdr:y>0.422</cdr:y>
    </cdr:from>
    <cdr:to>
      <cdr:x>0.66325</cdr:x>
      <cdr:y>0.4635</cdr:y>
    </cdr:to>
    <cdr:sp macro="" textlink="">
      <cdr:nvSpPr>
        <cdr:cNvPr id="151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7689" y="2459965"/>
          <a:ext cx="1318022" cy="241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Total Bank Debt</a:t>
          </a:r>
        </a:p>
      </cdr:txBody>
    </cdr:sp>
  </cdr:relSizeAnchor>
  <cdr:relSizeAnchor xmlns:cdr="http://schemas.openxmlformats.org/drawingml/2006/chartDrawing">
    <cdr:from>
      <cdr:x>0.49275</cdr:x>
      <cdr:y>0.495</cdr:y>
    </cdr:from>
    <cdr:to>
      <cdr:x>0.548</cdr:x>
      <cdr:y>0.5365</cdr:y>
    </cdr:to>
    <cdr:sp macro="" textlink="">
      <cdr:nvSpPr>
        <cdr:cNvPr id="151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4099" y="2885504"/>
          <a:ext cx="473631" cy="2419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Total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0.305</cdr:x>
      <cdr:y>0.2165</cdr:y>
    </cdr:from>
    <cdr:to>
      <cdr:x>0.83825</cdr:x>
      <cdr:y>0.478</cdr:y>
    </cdr:to>
    <cdr:sp macro="" textlink="">
      <cdr:nvSpPr>
        <cdr:cNvPr id="686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4613" y="1262043"/>
          <a:ext cx="4571285" cy="1524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Our Goal of 20% profit</a:t>
          </a:r>
        </a:p>
        <a:p xmlns:a="http://schemas.openxmlformats.org/drawingml/2006/main">
          <a:pPr algn="ctr" rtl="0">
            <a:defRPr sz="1000"/>
          </a:pPr>
          <a:r>
            <a:rPr lang="en-US"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 is achieved when the white line touches or crosses the black line.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0.27225</cdr:x>
      <cdr:y>0.0715</cdr:y>
    </cdr:from>
    <cdr:to>
      <cdr:x>0.693</cdr:x>
      <cdr:y>0.19575</cdr:y>
    </cdr:to>
    <cdr:sp macro="" textlink="">
      <cdr:nvSpPr>
        <cdr:cNvPr id="307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33863" y="416795"/>
          <a:ext cx="3606880" cy="724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CleanAir Monthly Profit vs Sales</a:t>
          </a:r>
        </a:p>
      </cdr:txBody>
    </cdr:sp>
  </cdr:relSizeAnchor>
  <cdr:relSizeAnchor xmlns:cdr="http://schemas.openxmlformats.org/drawingml/2006/chartDrawing">
    <cdr:from>
      <cdr:x>0.55525</cdr:x>
      <cdr:y>0.4225</cdr:y>
    </cdr:from>
    <cdr:to>
      <cdr:x>0.74775</cdr:x>
      <cdr:y>0.4745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759881" y="2462879"/>
          <a:ext cx="1650206" cy="3031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0.7675</cdr:x>
      <cdr:y>0.44</cdr:y>
    </cdr:from>
    <cdr:to>
      <cdr:x>0.8075</cdr:x>
      <cdr:y>0.46625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9394" y="2564892"/>
          <a:ext cx="342900" cy="153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4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aug 2009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0.703</cdr:x>
      <cdr:y>0.1785</cdr:y>
    </cdr:from>
    <cdr:to>
      <cdr:x>0.9455</cdr:x>
      <cdr:y>0.4015</cdr:y>
    </cdr:to>
    <cdr:sp macro="" textlink="">
      <cdr:nvSpPr>
        <cdr:cNvPr id="9830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468" y="872776"/>
          <a:ext cx="2078831" cy="10903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0.5975</cdr:x>
      <cdr:y>0.4525</cdr:y>
    </cdr:from>
    <cdr:to>
      <cdr:x>0.87775</cdr:x>
      <cdr:y>0.72375</cdr:y>
    </cdr:to>
    <cdr:sp macro="" textlink="">
      <cdr:nvSpPr>
        <cdr:cNvPr id="9830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2069" y="2212499"/>
          <a:ext cx="2402443" cy="13262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0.45775</cdr:x>
      <cdr:y>0.536</cdr:y>
    </cdr:from>
    <cdr:to>
      <cdr:x>0.46975</cdr:x>
      <cdr:y>0.5795</cdr:y>
    </cdr:to>
    <cdr:sp macro="" textlink="">
      <cdr:nvSpPr>
        <cdr:cNvPr id="1064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4062" y="3124505"/>
          <a:ext cx="102870" cy="2535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0.70275</cdr:x>
      <cdr:y>0.56225</cdr:y>
    </cdr:from>
    <cdr:to>
      <cdr:x>0.70275</cdr:x>
      <cdr:y>0.60425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4324" y="3277524"/>
          <a:ext cx="0" cy="2448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0.609</cdr:x>
      <cdr:y>0.549</cdr:y>
    </cdr:from>
    <cdr:to>
      <cdr:x>0.86825</cdr:x>
      <cdr:y>0.6145</cdr:y>
    </cdr:to>
    <cdr:sp macro="" textlink="">
      <cdr:nvSpPr>
        <cdr:cNvPr id="4101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20653" y="3200286"/>
          <a:ext cx="2222420" cy="3818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Annualized Two Year Rolling Profit</a:t>
          </a:r>
        </a:p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  <a:p xmlns:a="http://schemas.openxmlformats.org/drawingml/2006/main">
          <a:pPr algn="ctr" rtl="0">
            <a:defRPr sz="1000"/>
          </a:pPr>
          <a:endParaRPr lang="en-US" sz="1000" b="0" i="0" u="sng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0.15425</cdr:x>
      <cdr:y>0.24225</cdr:y>
    </cdr:from>
    <cdr:to>
      <cdr:x>0.20275</cdr:x>
      <cdr:y>0.31125</cdr:y>
    </cdr:to>
    <cdr:sp macro="" textlink="">
      <cdr:nvSpPr>
        <cdr:cNvPr id="4102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322308" y="1412148"/>
          <a:ext cx="415766" cy="4022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0.1215</cdr:x>
      <cdr:y>0.22</cdr:y>
    </cdr:from>
    <cdr:to>
      <cdr:x>0.23125</cdr:x>
      <cdr:y>0.257</cdr:y>
    </cdr:to>
    <cdr:sp macro="" textlink="">
      <cdr:nvSpPr>
        <cdr:cNvPr id="4103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559" y="1282446"/>
          <a:ext cx="940832" cy="2156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Quarter Sales</a:t>
          </a:r>
        </a:p>
      </cdr:txBody>
    </cdr:sp>
  </cdr:relSizeAnchor>
  <cdr:relSizeAnchor xmlns:cdr="http://schemas.openxmlformats.org/drawingml/2006/chartDrawing">
    <cdr:from>
      <cdr:x>0.4075</cdr:x>
      <cdr:y>0.477</cdr:y>
    </cdr:from>
    <cdr:to>
      <cdr:x>0.41925</cdr:x>
      <cdr:y>0.50975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93294" y="2780576"/>
          <a:ext cx="100727" cy="190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0.25875</cdr:x>
      <cdr:y>0.0255</cdr:y>
    </cdr:from>
    <cdr:to>
      <cdr:x>0.98175</cdr:x>
      <cdr:y>0.12125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18134" y="148647"/>
          <a:ext cx="6197918" cy="558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54864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24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Winter Months Profit</a:t>
          </a:r>
        </a:p>
        <a:p xmlns:a="http://schemas.openxmlformats.org/drawingml/2006/main">
          <a:pPr algn="ctr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  <a:p xmlns:a="http://schemas.openxmlformats.org/drawingml/2006/main">
          <a:pPr algn="ctr" rtl="0">
            <a:defRPr sz="1000"/>
          </a:pPr>
          <a:endParaRPr lang="en-US" sz="2400" b="0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0.73775</cdr:x>
      <cdr:y>0.5925</cdr:y>
    </cdr:from>
    <cdr:to>
      <cdr:x>0.89175</cdr:x>
      <cdr:y>0.63625</cdr:y>
    </cdr:to>
    <cdr:sp macro="" textlink="">
      <cdr:nvSpPr>
        <cdr:cNvPr id="51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4362" y="3453860"/>
          <a:ext cx="1320165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Geneva"/>
              <a:ea typeface="Geneva"/>
              <a:cs typeface="Geneva"/>
            </a:rPr>
            <a:t>1999 YTD Profit</a:t>
          </a:r>
        </a:p>
      </cdr:txBody>
    </cdr:sp>
  </cdr:relSizeAnchor>
  <cdr:relSizeAnchor xmlns:cdr="http://schemas.openxmlformats.org/drawingml/2006/chartDrawing">
    <cdr:from>
      <cdr:x>0.73775</cdr:x>
      <cdr:y>0.3635</cdr:y>
    </cdr:from>
    <cdr:to>
      <cdr:x>0.93625</cdr:x>
      <cdr:y>0.4245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4362" y="2118951"/>
          <a:ext cx="1701641" cy="3555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350" b="1" i="0" u="none" strike="noStrike" baseline="0">
              <a:solidFill>
                <a:srgbClr val="FFFFFF"/>
              </a:solidFill>
              <a:latin typeface="Helvetica"/>
              <a:ea typeface="Helvetica"/>
              <a:cs typeface="Helvetica"/>
            </a:rPr>
            <a:t>2000</a:t>
          </a:r>
          <a:r>
            <a:rPr lang="en-US" sz="975" b="1" i="0" u="none" strike="noStrike" baseline="0">
              <a:solidFill>
                <a:srgbClr val="FFFFFF"/>
              </a:solidFill>
              <a:latin typeface="Helvetica"/>
              <a:ea typeface="Helvetica"/>
              <a:cs typeface="Helvetica"/>
            </a:rPr>
            <a:t>   </a:t>
          </a:r>
          <a:r>
            <a:rPr lang="en-US" sz="1300" b="1" i="0" u="none" strike="noStrike" baseline="0">
              <a:solidFill>
                <a:srgbClr val="FFFFFF"/>
              </a:solidFill>
              <a:latin typeface="Helvetica"/>
              <a:ea typeface="Helvetica"/>
              <a:cs typeface="Helvetica"/>
            </a:rPr>
            <a:t>YTD</a:t>
          </a:r>
          <a:endParaRPr lang="en-US" sz="975" b="1" i="0" u="none" strike="noStrike" baseline="0">
            <a:solidFill>
              <a:srgbClr val="FFFFFF"/>
            </a:solidFill>
            <a:latin typeface="Helvetica"/>
            <a:ea typeface="Helvetica"/>
            <a:cs typeface="Helvetica"/>
          </a:endParaRPr>
        </a:p>
        <a:p xmlns:a="http://schemas.openxmlformats.org/drawingml/2006/main">
          <a:pPr algn="ctr" rtl="0">
            <a:defRPr sz="1000"/>
          </a:pPr>
          <a:endParaRPr lang="en-US" sz="975" b="1" i="0" u="none" strike="noStrike" baseline="0">
            <a:solidFill>
              <a:srgbClr val="FFFFFF"/>
            </a:solidFill>
            <a:latin typeface="Helvetica"/>
            <a:ea typeface="Helvetica"/>
            <a:cs typeface="Helvetica"/>
          </a:endParaRPr>
        </a:p>
      </cdr:txBody>
    </cdr:sp>
  </cdr:relSizeAnchor>
  <cdr:relSizeAnchor xmlns:cdr="http://schemas.openxmlformats.org/drawingml/2006/chartDrawing">
    <cdr:from>
      <cdr:x>0.5185</cdr:x>
      <cdr:y>0.44225</cdr:y>
    </cdr:from>
    <cdr:to>
      <cdr:x>0.5275</cdr:x>
      <cdr:y>0.4705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4841" y="2578008"/>
          <a:ext cx="77153" cy="1646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575" b="0" i="0" u="none" strike="noStrike" baseline="0">
              <a:solidFill>
                <a:srgbClr val="000000"/>
              </a:solidFill>
              <a:latin typeface="Helvetica"/>
              <a:ea typeface="Helvetica"/>
              <a:cs typeface="Helvetica"/>
            </a:rPr>
            <a:t> 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8570000" cy="583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0.5795</cdr:x>
      <cdr:y>0.169</cdr:y>
    </cdr:from>
    <cdr:to>
      <cdr:x>0.5925</cdr:x>
      <cdr:y>0.945</cdr:y>
    </cdr:to>
    <cdr:sp macro="" textlink="">
      <cdr:nvSpPr>
        <cdr:cNvPr id="706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967764" y="985152"/>
          <a:ext cx="111442" cy="45235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32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8565931" cy="58244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0.033</cdr:x>
      <cdr:y>0.31975</cdr:y>
    </cdr:from>
    <cdr:to>
      <cdr:x>0.92875</cdr:x>
      <cdr:y>0.8215</cdr:y>
    </cdr:to>
    <cdr:sp macro="" textlink="">
      <cdr:nvSpPr>
        <cdr:cNvPr id="2437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2893" y="1863919"/>
          <a:ext cx="7678816" cy="29248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0.22525</cdr:x>
      <cdr:y>0.16775</cdr:y>
    </cdr:from>
    <cdr:to>
      <cdr:x>0.61925</cdr:x>
      <cdr:y>0.21125</cdr:y>
    </cdr:to>
    <cdr:sp macro="" textlink="">
      <cdr:nvSpPr>
        <cdr:cNvPr id="634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0956" y="977865"/>
          <a:ext cx="3377565" cy="253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Monthly Data December 2002 to April 2005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0.14175</cdr:x>
      <cdr:y>0.56975</cdr:y>
    </cdr:from>
    <cdr:to>
      <cdr:x>0.1425</cdr:x>
      <cdr:y>0.859</cdr:y>
    </cdr:to>
    <cdr:sp macro="" textlink="">
      <cdr:nvSpPr>
        <cdr:cNvPr id="7577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215152" y="3321244"/>
          <a:ext cx="6429" cy="1686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0.09175</cdr:x>
      <cdr:y>0.403</cdr:y>
    </cdr:from>
    <cdr:to>
      <cdr:x>0.26225</cdr:x>
      <cdr:y>0.49675</cdr:y>
    </cdr:to>
    <cdr:sp macro="" textlink="">
      <cdr:nvSpPr>
        <cdr:cNvPr id="757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6527" y="2349208"/>
          <a:ext cx="1461611" cy="546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Team </a:t>
          </a:r>
        </a:p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Leadership Transition</a:t>
          </a:r>
        </a:p>
        <a:p xmlns:a="http://schemas.openxmlformats.org/drawingml/2006/main">
          <a:pPr algn="ctr" rtl="0">
            <a:defRPr sz="1000"/>
          </a:pPr>
          <a:r>
            <a:rPr lang="en-US" sz="10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  <cdr:relSizeAnchor xmlns:cdr="http://schemas.openxmlformats.org/drawingml/2006/chartDrawing">
    <cdr:from>
      <cdr:x>0.14925</cdr:x>
      <cdr:y>0.466</cdr:y>
    </cdr:from>
    <cdr:to>
      <cdr:x>0.19425</cdr:x>
      <cdr:y>0.607</cdr:y>
    </cdr:to>
    <cdr:sp macro="" textlink="">
      <cdr:nvSpPr>
        <cdr:cNvPr id="7578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79446" y="2716454"/>
          <a:ext cx="385762" cy="8219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8575524" cy="583595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0.13775</cdr:x>
      <cdr:y>0.446</cdr:y>
    </cdr:from>
    <cdr:to>
      <cdr:x>0.3615</cdr:x>
      <cdr:y>0.7815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0862" y="2599868"/>
          <a:ext cx="1918097" cy="19557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Dec 1999 Price set at $29.34 by EFCG ,</a:t>
          </a:r>
        </a:p>
      </cdr:txBody>
    </cdr:sp>
  </cdr:relSizeAnchor>
  <cdr:relSizeAnchor xmlns:cdr="http://schemas.openxmlformats.org/drawingml/2006/chartDrawing">
    <cdr:from>
      <cdr:x>0.53475</cdr:x>
      <cdr:y>0.43125</cdr:y>
    </cdr:from>
    <cdr:to>
      <cdr:x>0.54675</cdr:x>
      <cdr:y>0.475</cdr:y>
    </cdr:to>
    <cdr:sp macro="" textlink="">
      <cdr:nvSpPr>
        <cdr:cNvPr id="368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4144" y="2513886"/>
          <a:ext cx="102870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0.369</cdr:x>
      <cdr:y>0.47275</cdr:y>
    </cdr:from>
    <cdr:to>
      <cdr:x>0.57175</cdr:x>
      <cdr:y>0.586</cdr:y>
    </cdr:to>
    <cdr:sp macro="" textlink="">
      <cdr:nvSpPr>
        <cdr:cNvPr id="368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63253" y="2755802"/>
          <a:ext cx="1738074" cy="660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Feb 2002 Price Set at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$64.95</a:t>
          </a:r>
        </a:p>
        <a:p xmlns:a="http://schemas.openxmlformats.org/drawingml/2006/main">
          <a:pPr algn="ctr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by EFCG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0.21925</cdr:x>
      <cdr:y>0.085</cdr:y>
    </cdr:from>
    <cdr:to>
      <cdr:x>0.7125</cdr:x>
      <cdr:y>0.11725</cdr:y>
    </cdr:to>
    <cdr:sp macro="" textlink="">
      <cdr:nvSpPr>
        <cdr:cNvPr id="249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521" y="495491"/>
          <a:ext cx="4228385" cy="187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rPr>
            <a:t>Google made25% profit after taxes in 2009, our target is 10% after taxes)</a:t>
          </a:r>
        </a:p>
      </cdr:txBody>
    </cdr: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9</xdr:col>
      <xdr:colOff>12700</xdr:colOff>
      <xdr:row>43</xdr:row>
      <xdr:rowOff>127000</xdr:rowOff>
    </xdr:to>
    <xdr:graphicFrame macro="">
      <xdr:nvGraphicFramePr>
        <xdr:cNvPr id="112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44</xdr:row>
      <xdr:rowOff>12700</xdr:rowOff>
    </xdr:from>
    <xdr:to>
      <xdr:col>9</xdr:col>
      <xdr:colOff>927100</xdr:colOff>
      <xdr:row>86</xdr:row>
      <xdr:rowOff>63500</xdr:rowOff>
    </xdr:to>
    <xdr:graphicFrame macro="">
      <xdr:nvGraphicFramePr>
        <xdr:cNvPr id="112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10</xdr:col>
      <xdr:colOff>0</xdr:colOff>
      <xdr:row>127</xdr:row>
      <xdr:rowOff>0</xdr:rowOff>
    </xdr:to>
    <xdr:graphicFrame macro="">
      <xdr:nvGraphicFramePr>
        <xdr:cNvPr id="1126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197</xdr:row>
      <xdr:rowOff>127000</xdr:rowOff>
    </xdr:from>
    <xdr:to>
      <xdr:col>9</xdr:col>
      <xdr:colOff>63500</xdr:colOff>
      <xdr:row>226</xdr:row>
      <xdr:rowOff>12700</xdr:rowOff>
    </xdr:to>
    <xdr:graphicFrame macro="">
      <xdr:nvGraphicFramePr>
        <xdr:cNvPr id="1127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25400</xdr:colOff>
      <xdr:row>174</xdr:row>
      <xdr:rowOff>0</xdr:rowOff>
    </xdr:from>
    <xdr:to>
      <xdr:col>9</xdr:col>
      <xdr:colOff>101600</xdr:colOff>
      <xdr:row>197</xdr:row>
      <xdr:rowOff>101600</xdr:rowOff>
    </xdr:to>
    <xdr:graphicFrame macro="">
      <xdr:nvGraphicFramePr>
        <xdr:cNvPr id="1127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241300</xdr:colOff>
      <xdr:row>101</xdr:row>
      <xdr:rowOff>127000</xdr:rowOff>
    </xdr:from>
    <xdr:to>
      <xdr:col>24</xdr:col>
      <xdr:colOff>1066800</xdr:colOff>
      <xdr:row>119</xdr:row>
      <xdr:rowOff>12700</xdr:rowOff>
    </xdr:to>
    <xdr:graphicFrame macro="">
      <xdr:nvGraphicFramePr>
        <xdr:cNvPr id="1128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0.62382</cdr:x>
      <cdr:y>0.36023</cdr:y>
    </cdr:from>
    <cdr:to>
      <cdr:x>0.67103</cdr:x>
      <cdr:y>0.38981</cdr:y>
    </cdr:to>
    <cdr:sp macro="" textlink="">
      <cdr:nvSpPr>
        <cdr:cNvPr id="12291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1628" y="2616873"/>
          <a:ext cx="420859" cy="214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1999</a:t>
          </a:r>
        </a:p>
      </cdr:txBody>
    </cdr:sp>
  </cdr:relSizeAnchor>
  <cdr:relSizeAnchor xmlns:cdr="http://schemas.openxmlformats.org/drawingml/2006/chartDrawing">
    <cdr:from>
      <cdr:x>0.26076</cdr:x>
      <cdr:y>0.80936</cdr:y>
    </cdr:from>
    <cdr:to>
      <cdr:x>0.35888</cdr:x>
      <cdr:y>0.83919</cdr:y>
    </cdr:to>
    <cdr:sp macro="" textlink="">
      <cdr:nvSpPr>
        <cdr:cNvPr id="12292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4760" y="5879529"/>
          <a:ext cx="874770" cy="216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BEFORE 1999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0.5</cdr:x>
      <cdr:y>0.5</cdr:y>
    </cdr:from>
    <cdr:to>
      <cdr:x>0.51039</cdr:x>
      <cdr:y>0.53177</cdr:y>
    </cdr:to>
    <cdr:sp macro="" textlink="">
      <cdr:nvSpPr>
        <cdr:cNvPr id="133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40300" y="3403600"/>
          <a:ext cx="102680" cy="2162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 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0</xdr:row>
      <xdr:rowOff>127000</xdr:rowOff>
    </xdr:from>
    <xdr:to>
      <xdr:col>11</xdr:col>
      <xdr:colOff>787400</xdr:colOff>
      <xdr:row>31</xdr:row>
      <xdr:rowOff>76200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711200</xdr:colOff>
      <xdr:row>33</xdr:row>
      <xdr:rowOff>12700</xdr:rowOff>
    </xdr:from>
    <xdr:to>
      <xdr:col>9</xdr:col>
      <xdr:colOff>698500</xdr:colOff>
      <xdr:row>51</xdr:row>
      <xdr:rowOff>50800</xdr:rowOff>
    </xdr:to>
    <xdr:graphicFrame macro="">
      <xdr:nvGraphicFramePr>
        <xdr:cNvPr id="153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0.63032</cdr:x>
      <cdr:y>0.45271</cdr:y>
    </cdr:from>
    <cdr:to>
      <cdr:x>0.69251</cdr:x>
      <cdr:y>0.4951</cdr:y>
    </cdr:to>
    <cdr:sp macro="" textlink="">
      <cdr:nvSpPr>
        <cdr:cNvPr id="16386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9142" y="2305529"/>
          <a:ext cx="495262" cy="215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August</a:t>
          </a:r>
        </a:p>
      </cdr:txBody>
    </cdr:sp>
  </cdr:relSizeAnchor>
  <cdr:relSizeAnchor xmlns:cdr="http://schemas.openxmlformats.org/drawingml/2006/chartDrawing">
    <cdr:from>
      <cdr:x>0.78951</cdr:x>
      <cdr:y>0.43899</cdr:y>
    </cdr:from>
    <cdr:to>
      <cdr:x>0.83887</cdr:x>
      <cdr:y>0.48138</cdr:y>
    </cdr:to>
    <cdr:sp macro="" textlink="">
      <cdr:nvSpPr>
        <cdr:cNvPr id="16387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776" y="2235654"/>
          <a:ext cx="393065" cy="215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Sept</a:t>
          </a:r>
        </a:p>
      </cdr:txBody>
    </cdr:sp>
  </cdr:relSizeAnchor>
  <cdr:relSizeAnchor xmlns:cdr="http://schemas.openxmlformats.org/drawingml/2006/chartDrawing">
    <cdr:from>
      <cdr:x>0.63797</cdr:x>
      <cdr:y>0.50123</cdr:y>
    </cdr:from>
    <cdr:to>
      <cdr:x>0.70979</cdr:x>
      <cdr:y>0.54361</cdr:y>
    </cdr:to>
    <cdr:sp macro="" textlink="">
      <cdr:nvSpPr>
        <cdr:cNvPr id="16388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67" y="2552589"/>
          <a:ext cx="571909" cy="215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Nov-97</a:t>
          </a:r>
        </a:p>
      </cdr:txBody>
    </cdr:sp>
  </cdr:relSizeAnchor>
  <cdr:relSizeAnchor xmlns:cdr="http://schemas.openxmlformats.org/drawingml/2006/chartDrawing">
    <cdr:from>
      <cdr:x>0.64266</cdr:x>
      <cdr:y>0.24935</cdr:y>
    </cdr:from>
    <cdr:to>
      <cdr:x>0.71127</cdr:x>
      <cdr:y>0.29174</cdr:y>
    </cdr:to>
    <cdr:sp macro="" textlink="">
      <cdr:nvSpPr>
        <cdr:cNvPr id="16389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7408" y="1269876"/>
          <a:ext cx="546360" cy="215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Oct-97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X68"/>
  <sheetViews>
    <sheetView topLeftCell="A11" workbookViewId="0">
      <selection activeCell="G15" sqref="G15"/>
    </sheetView>
  </sheetViews>
  <sheetFormatPr baseColWidth="10" defaultRowHeight="16" x14ac:dyDescent="0"/>
  <cols>
    <col min="1" max="1" width="37.5703125" style="299" customWidth="1"/>
    <col min="2" max="2" width="15.5703125" style="299" customWidth="1"/>
    <col min="3" max="3" width="14.85546875" style="299" customWidth="1"/>
    <col min="4" max="4" width="12.85546875" style="299" customWidth="1"/>
    <col min="5" max="5" width="14.140625" style="299" customWidth="1"/>
    <col min="6" max="7" width="15.7109375" style="299" customWidth="1"/>
    <col min="8" max="8" width="14.7109375" style="299" bestFit="1" customWidth="1"/>
    <col min="9" max="9" width="10.7109375" style="299"/>
    <col min="10" max="10" width="12" style="299" bestFit="1" customWidth="1"/>
    <col min="11" max="16384" width="10.7109375" style="299"/>
  </cols>
  <sheetData>
    <row r="1" spans="2:14" ht="17" thickBot="1">
      <c r="B1" s="410" t="str">
        <f>'Month S&amp;P'!AB31</f>
        <v>YEAR</v>
      </c>
      <c r="C1" s="411"/>
      <c r="D1" s="411"/>
      <c r="E1" s="411" t="str">
        <f>'Month S&amp;P'!AC31</f>
        <v>SALES</v>
      </c>
      <c r="F1" s="412" t="str">
        <f>'Month S&amp;P'!AD31</f>
        <v>PROFIT</v>
      </c>
      <c r="I1"/>
      <c r="J1"/>
      <c r="K1"/>
    </row>
    <row r="2" spans="2:14">
      <c r="B2" s="413">
        <f>'Month S&amp;P'!AB32</f>
        <v>1988</v>
      </c>
      <c r="C2" s="423"/>
      <c r="D2" s="423"/>
      <c r="E2" s="414">
        <f>'Month S&amp;P'!AC32</f>
        <v>5847461</v>
      </c>
      <c r="F2" s="415">
        <f>'Month S&amp;P'!AD32</f>
        <v>637802</v>
      </c>
      <c r="I2"/>
      <c r="J2"/>
      <c r="K2"/>
      <c r="N2" s="299">
        <v>1</v>
      </c>
    </row>
    <row r="3" spans="2:14">
      <c r="B3" s="416">
        <f>'Month S&amp;P'!AB33</f>
        <v>1989</v>
      </c>
      <c r="C3" s="424"/>
      <c r="D3" s="424"/>
      <c r="E3" s="417">
        <f>'Month S&amp;P'!AC33</f>
        <v>7893246</v>
      </c>
      <c r="F3" s="418">
        <f>'Month S&amp;P'!AD33</f>
        <v>701977</v>
      </c>
      <c r="I3"/>
      <c r="J3"/>
      <c r="K3"/>
      <c r="N3" s="299">
        <v>2</v>
      </c>
    </row>
    <row r="4" spans="2:14">
      <c r="B4" s="416">
        <f>'Month S&amp;P'!AB34</f>
        <v>1990</v>
      </c>
      <c r="C4" s="424"/>
      <c r="D4" s="424"/>
      <c r="E4" s="417">
        <f>'Month S&amp;P'!AC34</f>
        <v>10767442</v>
      </c>
      <c r="F4" s="418">
        <f>'Month S&amp;P'!AD34</f>
        <v>707259</v>
      </c>
      <c r="I4"/>
      <c r="J4"/>
      <c r="K4"/>
      <c r="N4" s="299">
        <v>3</v>
      </c>
    </row>
    <row r="5" spans="2:14">
      <c r="B5" s="416">
        <f>'Month S&amp;P'!AB35</f>
        <v>1991</v>
      </c>
      <c r="C5" s="424"/>
      <c r="D5" s="424"/>
      <c r="E5" s="417">
        <f>'Month S&amp;P'!AC35</f>
        <v>14098241</v>
      </c>
      <c r="F5" s="418">
        <f>'Month S&amp;P'!AD35</f>
        <v>1056133</v>
      </c>
      <c r="I5"/>
      <c r="J5"/>
      <c r="K5"/>
      <c r="N5" s="299">
        <v>4</v>
      </c>
    </row>
    <row r="6" spans="2:14">
      <c r="B6" s="416">
        <f>'Month S&amp;P'!AB36</f>
        <v>1992</v>
      </c>
      <c r="C6" s="424"/>
      <c r="D6" s="424"/>
      <c r="E6" s="417">
        <f>'Month S&amp;P'!AC36</f>
        <v>16027667</v>
      </c>
      <c r="F6" s="418">
        <f>'Month S&amp;P'!AD36</f>
        <v>22000</v>
      </c>
      <c r="I6"/>
      <c r="J6"/>
      <c r="K6"/>
      <c r="N6" s="299">
        <v>5</v>
      </c>
    </row>
    <row r="7" spans="2:14">
      <c r="B7" s="416">
        <f>'Month S&amp;P'!AB37</f>
        <v>1993</v>
      </c>
      <c r="C7" s="424"/>
      <c r="D7" s="424"/>
      <c r="E7" s="417">
        <f>'Month S&amp;P'!AC37</f>
        <v>15711770.550000003</v>
      </c>
      <c r="F7" s="418">
        <f>'Month S&amp;P'!AD37</f>
        <v>596859.14</v>
      </c>
      <c r="I7"/>
      <c r="J7"/>
      <c r="K7"/>
      <c r="N7" s="299">
        <v>6</v>
      </c>
    </row>
    <row r="8" spans="2:14">
      <c r="B8" s="416">
        <f>'Month S&amp;P'!AB38</f>
        <v>1994</v>
      </c>
      <c r="C8" s="424"/>
      <c r="D8" s="424"/>
      <c r="E8" s="417">
        <f>'Month S&amp;P'!AC38</f>
        <v>18557425.75</v>
      </c>
      <c r="F8" s="418">
        <f>'Month S&amp;P'!AD38</f>
        <v>451942.88</v>
      </c>
      <c r="I8"/>
      <c r="J8"/>
      <c r="K8"/>
      <c r="N8" s="299">
        <v>7</v>
      </c>
    </row>
    <row r="9" spans="2:14">
      <c r="B9" s="416">
        <f>'Month S&amp;P'!AB39</f>
        <v>1995</v>
      </c>
      <c r="C9" s="424"/>
      <c r="D9" s="424"/>
      <c r="E9" s="417">
        <f>'Month S&amp;P'!AC39</f>
        <v>16500858.021599999</v>
      </c>
      <c r="F9" s="418">
        <f>'Month S&amp;P'!AD39</f>
        <v>-549099.18700000015</v>
      </c>
      <c r="I9"/>
      <c r="J9"/>
      <c r="K9"/>
      <c r="N9" s="299">
        <v>8</v>
      </c>
    </row>
    <row r="10" spans="2:14">
      <c r="B10" s="416">
        <f>'Month S&amp;P'!AB40</f>
        <v>1996</v>
      </c>
      <c r="C10" s="424"/>
      <c r="D10" s="424"/>
      <c r="E10" s="417">
        <f>'Month S&amp;P'!AC40</f>
        <v>14948864.291200001</v>
      </c>
      <c r="F10" s="418">
        <f>'Month S&amp;P'!AD40</f>
        <v>-319863.52300000004</v>
      </c>
      <c r="I10"/>
      <c r="J10"/>
      <c r="K10"/>
      <c r="N10" s="299">
        <v>9</v>
      </c>
    </row>
    <row r="11" spans="2:14">
      <c r="B11" s="416">
        <f>'Month S&amp;P'!AB41</f>
        <v>1997</v>
      </c>
      <c r="C11" s="424"/>
      <c r="D11" s="424"/>
      <c r="E11" s="417">
        <f>'Month S&amp;P'!AC41</f>
        <v>13105212.707999999</v>
      </c>
      <c r="F11" s="418">
        <f>'Month S&amp;P'!AD41</f>
        <v>36242.263000000021</v>
      </c>
      <c r="I11"/>
      <c r="J11"/>
      <c r="K11"/>
      <c r="N11" s="299">
        <v>10</v>
      </c>
    </row>
    <row r="12" spans="2:14">
      <c r="B12" s="416">
        <f>'Month S&amp;P'!AB42</f>
        <v>1998</v>
      </c>
      <c r="C12" s="424"/>
      <c r="D12" s="424"/>
      <c r="E12" s="417">
        <f>'Month S&amp;P'!AC42</f>
        <v>11625440</v>
      </c>
      <c r="F12" s="418">
        <f>'Month S&amp;P'!AD42</f>
        <v>-844960</v>
      </c>
      <c r="I12"/>
      <c r="J12"/>
      <c r="K12"/>
      <c r="N12" s="299">
        <v>11</v>
      </c>
    </row>
    <row r="13" spans="2:14">
      <c r="B13" s="416">
        <f>'Month S&amp;P'!AB43</f>
        <v>1999</v>
      </c>
      <c r="C13" s="424"/>
      <c r="D13" s="424"/>
      <c r="E13" s="417">
        <f>'Month S&amp;P'!AC43</f>
        <v>11939454</v>
      </c>
      <c r="F13" s="418">
        <f>'Month S&amp;P'!AD43</f>
        <v>1121905</v>
      </c>
      <c r="I13"/>
      <c r="J13"/>
      <c r="K13"/>
      <c r="N13" s="299">
        <v>12</v>
      </c>
    </row>
    <row r="14" spans="2:14">
      <c r="B14" s="416">
        <f>'Month S&amp;P'!AB44</f>
        <v>2000</v>
      </c>
      <c r="C14" s="424"/>
      <c r="D14" s="424"/>
      <c r="E14" s="417">
        <f>'Month S&amp;P'!AC44</f>
        <v>13489594</v>
      </c>
      <c r="F14" s="418">
        <f>'Month S&amp;P'!AD44</f>
        <v>1860698</v>
      </c>
      <c r="I14"/>
      <c r="J14"/>
      <c r="K14"/>
      <c r="N14" s="299">
        <v>13</v>
      </c>
    </row>
    <row r="15" spans="2:14">
      <c r="B15" s="416">
        <f>'Month S&amp;P'!AB45</f>
        <v>2001</v>
      </c>
      <c r="C15" s="424"/>
      <c r="D15" s="424"/>
      <c r="E15" s="417">
        <f>'Month S&amp;P'!BV15</f>
        <v>16240418</v>
      </c>
      <c r="F15" s="418">
        <f>'Month S&amp;P'!AO15</f>
        <v>2639717</v>
      </c>
      <c r="G15" s="306">
        <f>SUM(F2:F15)</f>
        <v>8118612.5729999989</v>
      </c>
      <c r="H15" s="306">
        <f>G15*0.58</f>
        <v>4708795.2923399992</v>
      </c>
      <c r="I15"/>
      <c r="J15"/>
      <c r="K15"/>
      <c r="N15" s="299">
        <v>14</v>
      </c>
    </row>
    <row r="16" spans="2:14">
      <c r="B16" s="416">
        <f>'Month S&amp;P'!AB46</f>
        <v>2002</v>
      </c>
      <c r="C16" s="424"/>
      <c r="D16" s="424"/>
      <c r="E16" s="417">
        <f>'Month S&amp;P'!BW15</f>
        <v>13860911</v>
      </c>
      <c r="F16" s="418">
        <f>'Month S&amp;P'!AP15</f>
        <v>528302</v>
      </c>
      <c r="N16" s="299">
        <v>15</v>
      </c>
    </row>
    <row r="17" spans="1:24">
      <c r="B17" s="416">
        <f>'Month S&amp;P'!AB47</f>
        <v>2003</v>
      </c>
      <c r="C17" s="424"/>
      <c r="D17" s="424"/>
      <c r="E17" s="417">
        <v>14472706</v>
      </c>
      <c r="F17" s="418">
        <v>946935</v>
      </c>
      <c r="N17" s="299">
        <v>16</v>
      </c>
    </row>
    <row r="18" spans="1:24">
      <c r="B18" s="416">
        <f>'Month S&amp;P'!AB48</f>
        <v>2004</v>
      </c>
      <c r="C18" s="424"/>
      <c r="D18" s="424"/>
      <c r="E18" s="417">
        <v>14009513</v>
      </c>
      <c r="F18" s="418">
        <v>-253094</v>
      </c>
      <c r="I18" s="299" t="s">
        <v>495</v>
      </c>
      <c r="J18" s="299">
        <v>1998</v>
      </c>
      <c r="K18" s="299">
        <v>1999</v>
      </c>
      <c r="L18" s="299">
        <v>2000</v>
      </c>
      <c r="M18" s="299">
        <v>2001</v>
      </c>
      <c r="N18" s="299">
        <v>17</v>
      </c>
    </row>
    <row r="19" spans="1:24">
      <c r="B19" s="416">
        <f>'Month S&amp;P'!AB49</f>
        <v>2005</v>
      </c>
      <c r="C19" s="424"/>
      <c r="D19" s="424"/>
      <c r="E19" s="417">
        <f>'Month S&amp;P'!AC49</f>
        <v>14915816</v>
      </c>
      <c r="F19" s="418">
        <f>'Month S&amp;P'!AD49</f>
        <v>165702</v>
      </c>
      <c r="I19" s="299" t="s">
        <v>809</v>
      </c>
      <c r="J19" s="299">
        <v>11625440</v>
      </c>
      <c r="K19" s="299">
        <v>11939454</v>
      </c>
      <c r="L19" s="299">
        <v>13489594</v>
      </c>
      <c r="M19" s="299">
        <v>16000000</v>
      </c>
      <c r="N19" s="299">
        <v>18</v>
      </c>
    </row>
    <row r="20" spans="1:24">
      <c r="B20" s="416">
        <f>'Month S&amp;P'!AB50</f>
        <v>2006</v>
      </c>
      <c r="C20" s="424"/>
      <c r="D20" s="424"/>
      <c r="E20" s="417">
        <v>17041948</v>
      </c>
      <c r="F20" s="418">
        <v>76404</v>
      </c>
      <c r="I20" s="299" t="s">
        <v>863</v>
      </c>
      <c r="J20" s="299">
        <v>-844960</v>
      </c>
      <c r="K20" s="299">
        <v>1121905</v>
      </c>
      <c r="L20" s="299">
        <v>1860698</v>
      </c>
      <c r="M20" s="299">
        <v>2500000</v>
      </c>
      <c r="N20" s="299">
        <v>19</v>
      </c>
    </row>
    <row r="21" spans="1:24">
      <c r="B21" s="416">
        <f>'Month S&amp;P'!AB51</f>
        <v>2007</v>
      </c>
      <c r="C21" s="424"/>
      <c r="D21" s="424"/>
      <c r="E21" s="417">
        <f>'Month S&amp;P'!AC51</f>
        <v>20401930</v>
      </c>
      <c r="F21" s="418">
        <f>'Month S&amp;P'!AD51</f>
        <v>1471472</v>
      </c>
      <c r="N21" s="299">
        <v>20</v>
      </c>
    </row>
    <row r="22" spans="1:24">
      <c r="B22" s="416">
        <f>'Month S&amp;P'!AB52</f>
        <v>2008</v>
      </c>
      <c r="C22" s="424"/>
      <c r="D22" s="424"/>
      <c r="E22" s="417">
        <f>'Month S&amp;P'!AC52</f>
        <v>26958692</v>
      </c>
      <c r="F22" s="418">
        <f>'Month S&amp;P'!AD52</f>
        <v>4367788</v>
      </c>
      <c r="N22" s="299">
        <v>21</v>
      </c>
    </row>
    <row r="23" spans="1:24">
      <c r="B23" s="416">
        <f>'Month S&amp;P'!AB53</f>
        <v>2009</v>
      </c>
      <c r="C23" s="424"/>
      <c r="D23" s="424"/>
      <c r="E23" s="417">
        <f>'Month S&amp;P'!AC53</f>
        <v>21069013</v>
      </c>
      <c r="F23" s="418">
        <f>'Month S&amp;P'!AD53</f>
        <v>545774</v>
      </c>
      <c r="N23" s="299">
        <v>22</v>
      </c>
    </row>
    <row r="24" spans="1:24">
      <c r="B24" s="416">
        <f>'Month S&amp;P'!AB54</f>
        <v>2010</v>
      </c>
      <c r="C24" s="424"/>
      <c r="D24" s="424"/>
      <c r="E24" s="417">
        <f>'Month S&amp;P'!AC54</f>
        <v>23536046</v>
      </c>
      <c r="F24" s="418">
        <f>'Month S&amp;P'!AD54</f>
        <v>1937153</v>
      </c>
      <c r="N24" s="299">
        <v>23</v>
      </c>
    </row>
    <row r="25" spans="1:24">
      <c r="B25" s="416">
        <f>'Month S&amp;P'!AB55</f>
        <v>2011</v>
      </c>
      <c r="C25" s="424"/>
      <c r="D25" s="424"/>
      <c r="E25" s="417">
        <f>'Month S&amp;P'!AC55</f>
        <v>24985368</v>
      </c>
      <c r="F25" s="418">
        <f>'Month S&amp;P'!AD55</f>
        <v>1945713</v>
      </c>
      <c r="N25" s="299">
        <v>24</v>
      </c>
    </row>
    <row r="26" spans="1:24" ht="17" thickBot="1">
      <c r="B26" s="419">
        <f>'Month S&amp;P'!AB58</f>
        <v>2014</v>
      </c>
      <c r="C26" s="425"/>
      <c r="D26" s="425"/>
      <c r="E26" s="420">
        <f>'Month S&amp;P'!AC58</f>
        <v>0</v>
      </c>
      <c r="F26" s="421">
        <f>'Month S&amp;P'!AD58</f>
        <v>0</v>
      </c>
      <c r="N26" s="299">
        <v>25</v>
      </c>
    </row>
    <row r="28" spans="1:24">
      <c r="A28" s="299" t="s">
        <v>930</v>
      </c>
    </row>
    <row r="29" spans="1:24">
      <c r="B29" s="427" t="s">
        <v>116</v>
      </c>
      <c r="C29" s="427" t="s">
        <v>117</v>
      </c>
      <c r="D29" s="427" t="s">
        <v>117</v>
      </c>
      <c r="E29" s="427" t="s">
        <v>117</v>
      </c>
    </row>
    <row r="30" spans="1:24">
      <c r="B30" s="424">
        <v>2001</v>
      </c>
      <c r="C30" s="424">
        <v>2000</v>
      </c>
      <c r="D30" s="424">
        <v>1999</v>
      </c>
      <c r="E30" s="424">
        <v>1998</v>
      </c>
      <c r="G30" s="299">
        <v>2001</v>
      </c>
      <c r="J30" s="349">
        <v>16000000</v>
      </c>
    </row>
    <row r="31" spans="1:24">
      <c r="B31" s="439">
        <v>35794</v>
      </c>
      <c r="C31" s="439">
        <v>35794</v>
      </c>
      <c r="D31" s="439">
        <v>35794</v>
      </c>
      <c r="E31" s="439">
        <v>35794</v>
      </c>
      <c r="G31" s="299">
        <v>2000</v>
      </c>
      <c r="J31" s="349">
        <v>13489594</v>
      </c>
      <c r="L31" s="349">
        <v>9168839</v>
      </c>
      <c r="M31" s="349"/>
      <c r="N31" s="349">
        <f>J31-L31</f>
        <v>4320755</v>
      </c>
      <c r="P31" s="299">
        <v>20</v>
      </c>
      <c r="R31" s="299">
        <v>16</v>
      </c>
      <c r="S31" s="299">
        <v>1</v>
      </c>
      <c r="U31" s="299">
        <v>5</v>
      </c>
      <c r="V31" s="299">
        <v>6</v>
      </c>
      <c r="X31" s="299">
        <v>9</v>
      </c>
    </row>
    <row r="32" spans="1:24">
      <c r="G32" s="299">
        <v>1999</v>
      </c>
      <c r="J32" s="349">
        <v>11939454</v>
      </c>
      <c r="L32" s="349">
        <v>8635266</v>
      </c>
      <c r="M32" s="349"/>
      <c r="N32" s="349">
        <f>J32-L32</f>
        <v>3304188</v>
      </c>
      <c r="P32" s="299">
        <v>21</v>
      </c>
      <c r="R32" s="299">
        <v>11</v>
      </c>
      <c r="S32" s="299">
        <v>2</v>
      </c>
      <c r="U32" s="299">
        <v>9</v>
      </c>
      <c r="V32" s="299">
        <v>4</v>
      </c>
      <c r="X32" s="299">
        <v>5</v>
      </c>
    </row>
    <row r="33" spans="1:24">
      <c r="A33" s="299" t="s">
        <v>1340</v>
      </c>
      <c r="B33" s="422">
        <v>16000000</v>
      </c>
      <c r="C33" s="422">
        <v>13489594</v>
      </c>
      <c r="D33" s="422">
        <v>11939454</v>
      </c>
      <c r="E33" s="422">
        <v>11625440</v>
      </c>
      <c r="G33" s="299">
        <v>1998</v>
      </c>
      <c r="J33" s="349">
        <v>11625440</v>
      </c>
      <c r="P33" s="299">
        <v>20</v>
      </c>
      <c r="R33" s="299">
        <v>14</v>
      </c>
      <c r="S33" s="299">
        <v>3</v>
      </c>
      <c r="U33" s="299">
        <v>11</v>
      </c>
      <c r="V33" s="299">
        <v>5</v>
      </c>
      <c r="X33" s="299">
        <v>6</v>
      </c>
    </row>
    <row r="35" spans="1:24">
      <c r="A35" s="299" t="s">
        <v>1341</v>
      </c>
      <c r="B35" s="435">
        <v>10000000</v>
      </c>
      <c r="C35" s="435">
        <v>9168839</v>
      </c>
      <c r="D35" s="435">
        <v>8635266</v>
      </c>
      <c r="E35" s="435">
        <v>10493412</v>
      </c>
    </row>
    <row r="36" spans="1:24">
      <c r="C36" s="435"/>
      <c r="D36" s="435"/>
      <c r="E36" s="435"/>
    </row>
    <row r="37" spans="1:24">
      <c r="A37" s="299" t="s">
        <v>1180</v>
      </c>
      <c r="B37" s="435">
        <f>B33-B35</f>
        <v>6000000</v>
      </c>
      <c r="C37" s="435">
        <f>C33-C35</f>
        <v>4320755</v>
      </c>
      <c r="D37" s="435">
        <f>D33-D35</f>
        <v>3304188</v>
      </c>
      <c r="E37" s="435">
        <f>E33-E35</f>
        <v>1132028</v>
      </c>
    </row>
    <row r="38" spans="1:24">
      <c r="B38" s="435"/>
      <c r="C38" s="435"/>
      <c r="D38" s="435"/>
      <c r="E38" s="435"/>
    </row>
    <row r="39" spans="1:24">
      <c r="A39" s="299" t="s">
        <v>11</v>
      </c>
      <c r="B39" s="435">
        <v>2500000</v>
      </c>
      <c r="C39" s="435">
        <v>2046327</v>
      </c>
      <c r="D39" s="435">
        <v>1751974</v>
      </c>
      <c r="E39" s="435">
        <v>1394601</v>
      </c>
    </row>
    <row r="40" spans="1:24">
      <c r="B40" s="435"/>
      <c r="C40" s="435"/>
      <c r="D40" s="435"/>
      <c r="E40" s="435"/>
    </row>
    <row r="41" spans="1:24">
      <c r="A41" s="299" t="s">
        <v>1181</v>
      </c>
      <c r="B41" s="435">
        <f>B37-B39</f>
        <v>3500000</v>
      </c>
      <c r="C41" s="435">
        <f>C37-C39</f>
        <v>2274428</v>
      </c>
      <c r="D41" s="435">
        <f>D37-D39</f>
        <v>1552214</v>
      </c>
      <c r="E41" s="435">
        <f>E37-E39</f>
        <v>-262573</v>
      </c>
    </row>
    <row r="42" spans="1:24">
      <c r="A42" s="299" t="s">
        <v>1397</v>
      </c>
      <c r="B42" s="435">
        <v>500000</v>
      </c>
      <c r="C42" s="435">
        <v>413723</v>
      </c>
      <c r="D42" s="435">
        <v>430310</v>
      </c>
      <c r="E42" s="435">
        <v>569309</v>
      </c>
    </row>
    <row r="43" spans="1:24">
      <c r="B43" s="435"/>
      <c r="C43" s="435"/>
      <c r="D43" s="435"/>
      <c r="E43" s="435"/>
    </row>
    <row r="44" spans="1:24">
      <c r="A44" s="299" t="s">
        <v>1095</v>
      </c>
      <c r="B44" s="435">
        <f>B41-B42</f>
        <v>3000000</v>
      </c>
      <c r="C44" s="435">
        <f>C41-C42</f>
        <v>1860705</v>
      </c>
      <c r="D44" s="435">
        <f>D41-D42</f>
        <v>1121904</v>
      </c>
      <c r="E44" s="435">
        <f>E41-E42</f>
        <v>-831882</v>
      </c>
    </row>
    <row r="45" spans="1:24">
      <c r="A45" s="299" t="s">
        <v>515</v>
      </c>
      <c r="B45" s="430">
        <f>B44*0.413</f>
        <v>1239000</v>
      </c>
      <c r="C45" s="430">
        <f>C44*0.413</f>
        <v>768471.16499999992</v>
      </c>
      <c r="D45" s="430">
        <f>D44*0.413</f>
        <v>463346.35199999996</v>
      </c>
      <c r="E45" s="430">
        <f>E44*0.413</f>
        <v>-343567.266</v>
      </c>
    </row>
    <row r="46" spans="1:24">
      <c r="B46" s="435"/>
      <c r="C46" s="435"/>
      <c r="D46" s="435"/>
      <c r="E46" s="435"/>
    </row>
    <row r="47" spans="1:24">
      <c r="A47" s="299" t="s">
        <v>1256</v>
      </c>
      <c r="B47" s="435">
        <f>B44-B45</f>
        <v>1761000</v>
      </c>
      <c r="C47" s="435">
        <f>C44-C45</f>
        <v>1092233.835</v>
      </c>
      <c r="D47" s="435">
        <f>D44-D45</f>
        <v>658557.64800000004</v>
      </c>
      <c r="E47" s="435">
        <f>E44-E45</f>
        <v>-488314.734</v>
      </c>
    </row>
    <row r="48" spans="1:24">
      <c r="C48" s="435"/>
      <c r="D48" s="435"/>
      <c r="E48" s="435"/>
    </row>
    <row r="49" spans="1:15">
      <c r="A49" s="299" t="s">
        <v>118</v>
      </c>
      <c r="B49" s="428">
        <f>B47/C47-1</f>
        <v>0.61229211508541126</v>
      </c>
      <c r="C49" s="428">
        <f>C47/D47-1</f>
        <v>0.65852425876010767</v>
      </c>
      <c r="D49" s="440" t="s">
        <v>1491</v>
      </c>
      <c r="E49" s="435"/>
    </row>
    <row r="50" spans="1:15">
      <c r="A50" s="299" t="s">
        <v>119</v>
      </c>
      <c r="B50" s="428">
        <f>B33/C33-1</f>
        <v>0.18609944821171043</v>
      </c>
      <c r="C50" s="428">
        <f>C33/D33-1</f>
        <v>0.12983340779234953</v>
      </c>
      <c r="D50" s="428">
        <f>D33/E33-1</f>
        <v>2.7010934639893236E-2</v>
      </c>
      <c r="F50" s="434"/>
      <c r="G50" s="434"/>
      <c r="H50" s="434"/>
      <c r="I50" s="434"/>
      <c r="J50" s="434"/>
      <c r="K50" s="434"/>
      <c r="L50" s="434"/>
      <c r="M50" s="434"/>
      <c r="N50" s="434"/>
      <c r="O50" s="434"/>
    </row>
    <row r="52" spans="1:15">
      <c r="A52" s="795" t="s">
        <v>1331</v>
      </c>
      <c r="B52" s="796"/>
      <c r="C52" s="796"/>
      <c r="D52" s="796"/>
      <c r="E52" s="796"/>
      <c r="F52" s="796"/>
      <c r="G52" s="797"/>
    </row>
    <row r="53" spans="1:15" ht="32">
      <c r="A53" s="436" t="s">
        <v>878</v>
      </c>
      <c r="B53" s="437" t="s">
        <v>408</v>
      </c>
      <c r="C53" s="437" t="s">
        <v>409</v>
      </c>
      <c r="D53" s="438" t="s">
        <v>570</v>
      </c>
      <c r="E53" s="436" t="s">
        <v>575</v>
      </c>
      <c r="F53" s="431" t="s">
        <v>577</v>
      </c>
      <c r="G53" s="431" t="s">
        <v>578</v>
      </c>
    </row>
    <row r="54" spans="1:15">
      <c r="A54" s="430">
        <v>0</v>
      </c>
      <c r="B54" s="430">
        <v>50000</v>
      </c>
      <c r="C54" s="299">
        <v>0</v>
      </c>
      <c r="D54" s="428">
        <v>0.15</v>
      </c>
      <c r="E54" s="430">
        <v>0</v>
      </c>
      <c r="F54" s="432">
        <v>0.15</v>
      </c>
      <c r="G54" s="432">
        <v>0.15</v>
      </c>
    </row>
    <row r="55" spans="1:15">
      <c r="A55" s="430"/>
      <c r="B55" s="430"/>
      <c r="E55" s="430"/>
      <c r="F55" s="433"/>
      <c r="G55" s="433"/>
    </row>
    <row r="56" spans="1:15">
      <c r="A56" s="430">
        <v>50000</v>
      </c>
      <c r="B56" s="430">
        <v>75000</v>
      </c>
      <c r="C56" s="430">
        <v>7500</v>
      </c>
      <c r="D56" s="428">
        <v>0.25</v>
      </c>
      <c r="E56" s="430">
        <v>50000</v>
      </c>
      <c r="F56" s="432">
        <v>0.15</v>
      </c>
      <c r="G56" s="432">
        <f>C58/E58</f>
        <v>0.18333333333333332</v>
      </c>
    </row>
    <row r="57" spans="1:15">
      <c r="A57" s="430"/>
      <c r="B57" s="430"/>
      <c r="C57" s="430"/>
      <c r="D57" s="428"/>
      <c r="E57" s="430"/>
    </row>
    <row r="58" spans="1:15">
      <c r="A58" s="430">
        <v>75000</v>
      </c>
      <c r="B58" s="430">
        <v>100000</v>
      </c>
      <c r="C58" s="430">
        <v>13750</v>
      </c>
      <c r="D58" s="428">
        <v>0.34</v>
      </c>
      <c r="E58" s="430">
        <v>75000</v>
      </c>
      <c r="F58" s="432">
        <f>G56</f>
        <v>0.18333333333333332</v>
      </c>
      <c r="G58" s="432">
        <f>C60/E60</f>
        <v>0.2225</v>
      </c>
    </row>
    <row r="59" spans="1:15">
      <c r="A59" s="430"/>
      <c r="B59" s="430"/>
      <c r="C59" s="430"/>
      <c r="D59" s="428"/>
      <c r="E59" s="430"/>
      <c r="F59" s="432"/>
      <c r="G59" s="432"/>
    </row>
    <row r="60" spans="1:15" s="434" customFormat="1">
      <c r="A60" s="430">
        <v>100000</v>
      </c>
      <c r="B60" s="430">
        <v>335000</v>
      </c>
      <c r="C60" s="430">
        <v>22250</v>
      </c>
      <c r="D60" s="428">
        <v>0.39</v>
      </c>
      <c r="E60" s="430">
        <v>100000</v>
      </c>
      <c r="F60" s="432">
        <f>G58</f>
        <v>0.2225</v>
      </c>
      <c r="G60" s="432">
        <f>C62/E62</f>
        <v>0.34</v>
      </c>
      <c r="H60" s="299"/>
      <c r="I60" s="299"/>
      <c r="J60" s="299"/>
      <c r="K60" s="299"/>
      <c r="L60" s="299"/>
      <c r="M60" s="299"/>
      <c r="N60" s="299"/>
      <c r="O60" s="299"/>
    </row>
    <row r="61" spans="1:15">
      <c r="B61" s="429"/>
      <c r="D61" s="428"/>
      <c r="E61" s="430"/>
      <c r="F61" s="432"/>
      <c r="G61" s="432"/>
    </row>
    <row r="62" spans="1:15">
      <c r="A62" s="430">
        <v>335000</v>
      </c>
      <c r="B62" s="430">
        <v>10000000</v>
      </c>
      <c r="C62" s="430">
        <v>113900</v>
      </c>
      <c r="D62" s="428">
        <v>0.34</v>
      </c>
      <c r="E62" s="430">
        <v>335000</v>
      </c>
      <c r="F62" s="432">
        <f>G60</f>
        <v>0.34</v>
      </c>
      <c r="G62" s="432">
        <f>C64/E64</f>
        <v>0.34</v>
      </c>
    </row>
    <row r="63" spans="1:15">
      <c r="A63" s="430"/>
      <c r="B63" s="430"/>
      <c r="C63" s="430"/>
      <c r="D63" s="428"/>
      <c r="E63" s="430"/>
      <c r="F63" s="432"/>
      <c r="G63" s="432"/>
    </row>
    <row r="64" spans="1:15">
      <c r="A64" s="430">
        <v>10000000</v>
      </c>
      <c r="B64" s="430">
        <v>15000000</v>
      </c>
      <c r="C64" s="430">
        <v>3400000</v>
      </c>
      <c r="D64" s="428">
        <v>0.35</v>
      </c>
      <c r="E64" s="430">
        <v>10000000</v>
      </c>
      <c r="F64" s="432">
        <f>G62</f>
        <v>0.34</v>
      </c>
      <c r="G64" s="432">
        <f>C66/E66</f>
        <v>0.34333333333333332</v>
      </c>
    </row>
    <row r="65" spans="1:7">
      <c r="A65" s="430"/>
      <c r="B65" s="430"/>
      <c r="C65" s="430"/>
      <c r="D65" s="428"/>
      <c r="E65" s="430"/>
      <c r="F65" s="432"/>
      <c r="G65" s="432"/>
    </row>
    <row r="66" spans="1:7">
      <c r="A66" s="430">
        <v>15000000</v>
      </c>
      <c r="B66" s="430">
        <v>18333333</v>
      </c>
      <c r="C66" s="430">
        <v>5150000</v>
      </c>
      <c r="D66" s="428">
        <v>0.38</v>
      </c>
      <c r="E66" s="430">
        <v>15000000</v>
      </c>
      <c r="F66" s="432">
        <f>G64</f>
        <v>0.34333333333333332</v>
      </c>
      <c r="G66" s="432">
        <v>0.35</v>
      </c>
    </row>
    <row r="67" spans="1:7">
      <c r="A67" s="430"/>
      <c r="B67" s="430"/>
      <c r="C67" s="430"/>
      <c r="D67" s="428"/>
      <c r="E67" s="430"/>
    </row>
    <row r="68" spans="1:7">
      <c r="A68" s="430">
        <v>18333333</v>
      </c>
      <c r="B68" s="430" t="s">
        <v>576</v>
      </c>
      <c r="C68" s="430"/>
      <c r="D68" s="428">
        <v>0.35</v>
      </c>
      <c r="E68" s="426" t="s">
        <v>576</v>
      </c>
      <c r="F68" s="432">
        <v>0.35</v>
      </c>
      <c r="G68" s="432">
        <v>0.35</v>
      </c>
    </row>
  </sheetData>
  <mergeCells count="1">
    <mergeCell ref="A52:G52"/>
  </mergeCells>
  <pageMargins left="0.75" right="0.75" top="1" bottom="1" header="0.5" footer="0.5"/>
  <pageSetup paperSize="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/>
  <dimension ref="A1:HK562"/>
  <sheetViews>
    <sheetView topLeftCell="L1" workbookViewId="0">
      <pane ySplit="2" topLeftCell="A21" activePane="bottomLeft" state="frozenSplit"/>
      <selection pane="bottomLeft" activeCell="AB57" sqref="AB57"/>
    </sheetView>
  </sheetViews>
  <sheetFormatPr baseColWidth="10" defaultRowHeight="13" x14ac:dyDescent="0"/>
  <cols>
    <col min="1" max="1" width="10.7109375" style="6"/>
    <col min="2" max="2" width="11.140625" style="6" bestFit="1" customWidth="1"/>
    <col min="3" max="3" width="12.42578125" style="6" bestFit="1" customWidth="1"/>
    <col min="4" max="4" width="10.85546875" style="6" customWidth="1"/>
    <col min="5" max="5" width="10.85546875" style="6" bestFit="1" customWidth="1"/>
    <col min="6" max="7" width="10.85546875" style="6" customWidth="1"/>
    <col min="8" max="10" width="10.85546875" style="6" bestFit="1" customWidth="1"/>
    <col min="11" max="11" width="10.7109375" style="6"/>
    <col min="12" max="12" width="10.85546875" style="6" bestFit="1" customWidth="1"/>
    <col min="13" max="13" width="10.85546875" style="6" customWidth="1"/>
    <col min="14" max="14" width="12.7109375" style="6" bestFit="1" customWidth="1"/>
    <col min="15" max="15" width="10.85546875" style="6" customWidth="1"/>
    <col min="16" max="16" width="14.7109375" style="6" customWidth="1"/>
    <col min="17" max="17" width="10.85546875" style="6" bestFit="1" customWidth="1"/>
    <col min="18" max="18" width="11.42578125" style="6" customWidth="1"/>
    <col min="19" max="20" width="10.85546875" style="6" bestFit="1" customWidth="1"/>
    <col min="21" max="21" width="9.85546875" style="6" customWidth="1"/>
    <col min="22" max="22" width="0.140625" style="6" customWidth="1"/>
    <col min="23" max="23" width="11" style="6" bestFit="1" customWidth="1"/>
    <col min="24" max="24" width="7" style="4" bestFit="1" customWidth="1"/>
    <col min="25" max="25" width="11.85546875" style="6" customWidth="1"/>
    <col min="26" max="26" width="2.5703125" style="6" customWidth="1"/>
    <col min="27" max="27" width="3.85546875" style="6" customWidth="1"/>
    <col min="28" max="28" width="10.85546875" style="6" customWidth="1"/>
    <col min="29" max="30" width="9.28515625" style="6" customWidth="1"/>
    <col min="31" max="31" width="10.28515625" style="6" customWidth="1"/>
    <col min="32" max="32" width="9.28515625" style="6" customWidth="1"/>
    <col min="33" max="33" width="10" style="6" customWidth="1"/>
    <col min="34" max="36" width="9.28515625" style="6" customWidth="1"/>
    <col min="37" max="37" width="9.42578125" style="6" customWidth="1"/>
    <col min="38" max="46" width="9.28515625" style="6" customWidth="1"/>
    <col min="47" max="47" width="10" style="6" bestFit="1" customWidth="1"/>
    <col min="48" max="48" width="10.28515625" style="6" bestFit="1" customWidth="1"/>
    <col min="49" max="51" width="10.28515625" style="6" customWidth="1"/>
    <col min="52" max="54" width="9.28515625" style="6" customWidth="1"/>
    <col min="55" max="55" width="4.28515625" style="49" customWidth="1"/>
    <col min="56" max="57" width="4.28515625" style="6" customWidth="1"/>
    <col min="58" max="58" width="10.28515625" style="6" customWidth="1"/>
    <col min="59" max="59" width="10.140625" style="6" customWidth="1"/>
    <col min="60" max="65" width="10" style="6" customWidth="1"/>
    <col min="66" max="79" width="10" style="55" customWidth="1"/>
    <col min="80" max="80" width="10" style="55" bestFit="1" customWidth="1"/>
    <col min="81" max="83" width="10" style="55" customWidth="1"/>
    <col min="84" max="87" width="9.42578125" style="6" bestFit="1" customWidth="1"/>
    <col min="88" max="90" width="6.140625" style="6" customWidth="1"/>
    <col min="91" max="92" width="6.7109375" style="6" customWidth="1"/>
    <col min="93" max="93" width="9.140625" style="57" customWidth="1"/>
    <col min="94" max="98" width="6.7109375" style="6" customWidth="1"/>
    <col min="99" max="99" width="7.140625" style="6" bestFit="1" customWidth="1"/>
    <col min="100" max="105" width="7.140625" style="6" customWidth="1"/>
    <col min="106" max="106" width="8.42578125" style="6" customWidth="1"/>
    <col min="107" max="107" width="9.28515625" style="6" customWidth="1"/>
    <col min="108" max="108" width="9.28515625" style="6" bestFit="1" customWidth="1"/>
    <col min="109" max="109" width="10" style="6" customWidth="1"/>
    <col min="110" max="110" width="10" style="6" bestFit="1" customWidth="1"/>
    <col min="111" max="111" width="9.28515625" style="6" customWidth="1"/>
    <col min="112" max="112" width="10" style="6" customWidth="1"/>
    <col min="113" max="115" width="10" style="55" customWidth="1"/>
    <col min="116" max="116" width="10.85546875" style="55" customWidth="1"/>
    <col min="117" max="121" width="10" style="55" customWidth="1"/>
    <col min="122" max="124" width="10" style="55" bestFit="1" customWidth="1"/>
    <col min="125" max="125" width="9.28515625" style="6" bestFit="1" customWidth="1"/>
    <col min="126" max="126" width="9.28515625" style="6" customWidth="1"/>
    <col min="127" max="127" width="9.7109375" style="6" customWidth="1"/>
    <col min="128" max="129" width="10" style="6" customWidth="1"/>
    <col min="130" max="132" width="10" style="6" bestFit="1" customWidth="1"/>
    <col min="133" max="134" width="10.85546875" style="6" customWidth="1"/>
    <col min="135" max="137" width="12" style="6" customWidth="1"/>
    <col min="138" max="145" width="12.140625" style="6" customWidth="1"/>
    <col min="146" max="147" width="12" style="6" bestFit="1" customWidth="1"/>
    <col min="148" max="148" width="12" style="6" customWidth="1"/>
    <col min="149" max="149" width="12" style="6" bestFit="1" customWidth="1"/>
    <col min="150" max="150" width="12" style="6" customWidth="1"/>
    <col min="151" max="152" width="12" style="6" bestFit="1" customWidth="1"/>
    <col min="153" max="153" width="11.7109375" style="6" customWidth="1"/>
    <col min="154" max="157" width="12.5703125" style="6" customWidth="1"/>
    <col min="158" max="161" width="12" style="6" bestFit="1" customWidth="1"/>
    <col min="162" max="168" width="10.7109375" style="6"/>
    <col min="169" max="169" width="11" style="6" customWidth="1"/>
    <col min="170" max="187" width="10.7109375" style="6"/>
    <col min="188" max="188" width="15" style="180" customWidth="1"/>
    <col min="189" max="189" width="11.7109375" style="180" customWidth="1"/>
    <col min="190" max="193" width="10.7109375" style="6"/>
    <col min="194" max="194" width="11" style="6" bestFit="1" customWidth="1"/>
    <col min="195" max="196" width="10.7109375" style="6"/>
    <col min="197" max="197" width="11" style="6" bestFit="1" customWidth="1"/>
    <col min="198" max="200" width="10.7109375" style="6"/>
    <col min="201" max="201" width="30.85546875" style="6" customWidth="1"/>
    <col min="202" max="202" width="11" style="53" customWidth="1"/>
    <col min="203" max="203" width="11" style="53" bestFit="1" customWidth="1"/>
    <col min="204" max="204" width="10.85546875" style="53" bestFit="1" customWidth="1"/>
    <col min="205" max="205" width="31.140625" style="53" customWidth="1"/>
    <col min="206" max="206" width="15.42578125" style="53" customWidth="1"/>
    <col min="207" max="207" width="11.7109375" style="182" bestFit="1" customWidth="1"/>
    <col min="208" max="208" width="14.42578125" style="6" customWidth="1"/>
    <col min="209" max="209" width="17.28515625" style="6" customWidth="1"/>
    <col min="210" max="210" width="11.7109375" style="6" bestFit="1" customWidth="1"/>
    <col min="211" max="16384" width="10.7109375" style="6"/>
  </cols>
  <sheetData>
    <row r="1" spans="1:219" ht="109" thickTop="1" thickBot="1">
      <c r="K1" s="80" t="s">
        <v>732</v>
      </c>
      <c r="N1" s="783">
        <v>2</v>
      </c>
      <c r="V1" s="7"/>
      <c r="W1" s="178" t="s">
        <v>67</v>
      </c>
      <c r="X1" s="4">
        <f>0.1733*(1-0.425)</f>
        <v>9.96475E-2</v>
      </c>
      <c r="Y1" s="178" t="s">
        <v>241</v>
      </c>
      <c r="AA1" s="8"/>
      <c r="AB1" s="8"/>
      <c r="AC1" s="9" t="s">
        <v>415</v>
      </c>
      <c r="AD1" s="8"/>
      <c r="AE1" s="8"/>
      <c r="AF1" s="8" t="s">
        <v>416</v>
      </c>
      <c r="AG1" s="102" t="s">
        <v>416</v>
      </c>
      <c r="AH1" s="102" t="s">
        <v>417</v>
      </c>
      <c r="AI1" s="102"/>
      <c r="AJ1" s="102"/>
      <c r="AK1" s="9" t="s">
        <v>415</v>
      </c>
      <c r="AL1" s="102"/>
      <c r="AM1" s="102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96" t="s">
        <v>361</v>
      </c>
      <c r="BD1" s="148" t="s">
        <v>133</v>
      </c>
      <c r="BE1" s="148" t="s">
        <v>511</v>
      </c>
      <c r="BF1" s="10"/>
      <c r="BG1" s="11"/>
      <c r="BH1" s="12"/>
      <c r="BI1" s="13"/>
      <c r="BJ1" s="14" t="s">
        <v>598</v>
      </c>
      <c r="BK1" s="13"/>
      <c r="BL1" s="13"/>
      <c r="BM1" s="13" t="s">
        <v>416</v>
      </c>
      <c r="BN1" s="13" t="s">
        <v>651</v>
      </c>
      <c r="BO1" s="15" t="s">
        <v>651</v>
      </c>
      <c r="BP1" s="15" t="s">
        <v>651</v>
      </c>
      <c r="BQ1" s="15" t="s">
        <v>651</v>
      </c>
      <c r="BR1" s="14" t="s">
        <v>598</v>
      </c>
      <c r="BS1" s="15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281" t="s">
        <v>171</v>
      </c>
      <c r="CK1" s="149" t="s">
        <v>413</v>
      </c>
      <c r="CL1" s="150" t="s">
        <v>511</v>
      </c>
      <c r="CM1" s="16"/>
      <c r="CN1" s="803" t="s">
        <v>652</v>
      </c>
      <c r="CO1" s="803"/>
      <c r="CP1" s="803"/>
      <c r="CQ1" s="803"/>
      <c r="CR1" s="803"/>
      <c r="CS1" s="803"/>
      <c r="CT1" s="803"/>
      <c r="CU1" s="803"/>
      <c r="CV1" s="803"/>
      <c r="CW1" s="803"/>
      <c r="CX1" s="803"/>
      <c r="CY1" s="803"/>
      <c r="CZ1" s="803"/>
      <c r="DA1" s="803"/>
      <c r="DB1" s="803"/>
      <c r="DC1" s="803"/>
      <c r="DD1" s="803"/>
      <c r="DE1" s="803"/>
      <c r="DF1" s="803"/>
      <c r="DG1" s="803"/>
      <c r="DH1" s="752"/>
      <c r="DI1" s="206"/>
      <c r="DJ1" s="206"/>
      <c r="DK1" s="206"/>
      <c r="DL1" s="801" t="s">
        <v>1045</v>
      </c>
      <c r="DM1" s="801"/>
      <c r="DN1" s="801"/>
      <c r="DO1" s="801"/>
      <c r="DP1" s="801"/>
      <c r="DQ1" s="801"/>
      <c r="DR1" s="801"/>
      <c r="DS1" s="801"/>
      <c r="DT1" s="801"/>
      <c r="DU1" s="801"/>
      <c r="DV1" s="801"/>
      <c r="DW1" s="801"/>
      <c r="DX1" s="801"/>
      <c r="DY1" s="802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 t="s">
        <v>133</v>
      </c>
      <c r="EL1" s="148" t="s">
        <v>511</v>
      </c>
      <c r="EM1" s="148" t="s">
        <v>511</v>
      </c>
      <c r="EN1" s="18"/>
      <c r="EO1" s="19"/>
      <c r="EP1" s="20" t="s">
        <v>937</v>
      </c>
      <c r="EQ1" s="19"/>
      <c r="ER1" s="19"/>
      <c r="ES1" s="19"/>
      <c r="ET1" s="20" t="s">
        <v>937</v>
      </c>
      <c r="EU1" s="21"/>
      <c r="EV1" s="21"/>
      <c r="EW1" s="21"/>
      <c r="EX1" s="96"/>
      <c r="EY1" s="20" t="s">
        <v>937</v>
      </c>
      <c r="EZ1" s="96"/>
      <c r="FA1" s="96"/>
      <c r="FB1" s="96"/>
      <c r="FC1" s="96"/>
      <c r="FD1" s="96"/>
      <c r="FE1" s="96"/>
      <c r="FF1" s="96"/>
      <c r="FG1" s="96"/>
      <c r="FH1" s="96"/>
      <c r="FI1" s="96"/>
      <c r="FJ1" s="96"/>
      <c r="FK1" s="96"/>
      <c r="FL1" s="96"/>
      <c r="FM1" s="16"/>
      <c r="FN1" s="17" t="s">
        <v>938</v>
      </c>
      <c r="FO1" s="16"/>
      <c r="FP1" s="16"/>
      <c r="FQ1" s="16"/>
      <c r="FR1" s="16"/>
      <c r="FS1" s="16"/>
      <c r="FT1" s="16"/>
      <c r="FU1" s="16"/>
      <c r="FV1" s="16"/>
      <c r="FW1" s="16"/>
      <c r="FX1" s="16" t="s">
        <v>939</v>
      </c>
      <c r="FY1" s="16" t="s">
        <v>939</v>
      </c>
      <c r="FZ1" s="16"/>
      <c r="GA1" s="16" t="s">
        <v>939</v>
      </c>
      <c r="GB1" s="206"/>
      <c r="GC1" s="206"/>
      <c r="GD1" s="206"/>
      <c r="GE1" s="206"/>
      <c r="GF1" s="206"/>
      <c r="GG1" s="206"/>
      <c r="GH1" s="206"/>
      <c r="GI1" s="206"/>
      <c r="GJ1" s="206"/>
      <c r="GK1" s="206"/>
      <c r="GL1" s="98" t="s">
        <v>1461</v>
      </c>
      <c r="GM1" s="98" t="s">
        <v>1462</v>
      </c>
      <c r="GN1" s="98" t="s">
        <v>1463</v>
      </c>
      <c r="GO1" s="81" t="s">
        <v>1562</v>
      </c>
      <c r="GP1" s="99" t="s">
        <v>1563</v>
      </c>
      <c r="GQ1" s="60" t="s">
        <v>1564</v>
      </c>
      <c r="GR1" s="98" t="s">
        <v>1565</v>
      </c>
      <c r="GS1" t="s">
        <v>1372</v>
      </c>
      <c r="GT1" s="181" t="s">
        <v>689</v>
      </c>
      <c r="GU1" s="181"/>
      <c r="GV1" t="s">
        <v>690</v>
      </c>
      <c r="GW1" t="s">
        <v>691</v>
      </c>
      <c r="GX1" s="159" t="s">
        <v>866</v>
      </c>
      <c r="GY1" s="159" t="s">
        <v>379</v>
      </c>
      <c r="GZ1" s="71" t="s">
        <v>1365</v>
      </c>
      <c r="HA1" s="71" t="s">
        <v>669</v>
      </c>
      <c r="HB1" s="3" t="s">
        <v>487</v>
      </c>
      <c r="HC1" s="179" t="s">
        <v>1482</v>
      </c>
      <c r="HD1" s="53"/>
      <c r="HE1" s="53"/>
      <c r="HF1" s="53"/>
      <c r="HG1" s="71"/>
      <c r="HH1" s="387" t="s">
        <v>1366</v>
      </c>
      <c r="HI1" s="388"/>
      <c r="HJ1" s="389" t="s">
        <v>638</v>
      </c>
      <c r="HK1" s="80"/>
    </row>
    <row r="2" spans="1:219" s="160" customFormat="1" ht="41" thickBot="1">
      <c r="A2" s="158" t="s">
        <v>639</v>
      </c>
      <c r="B2" s="159" t="s">
        <v>640</v>
      </c>
      <c r="C2" s="158" t="s">
        <v>641</v>
      </c>
      <c r="D2" s="159" t="s">
        <v>68</v>
      </c>
      <c r="E2" s="159" t="s">
        <v>69</v>
      </c>
      <c r="F2" s="782" t="s">
        <v>71</v>
      </c>
      <c r="G2" s="784" t="s">
        <v>75</v>
      </c>
      <c r="H2" s="159" t="s">
        <v>227</v>
      </c>
      <c r="I2" s="159" t="s">
        <v>1009</v>
      </c>
      <c r="J2" s="159" t="s">
        <v>1010</v>
      </c>
      <c r="K2" s="159" t="s">
        <v>1011</v>
      </c>
      <c r="L2" s="159" t="s">
        <v>1012</v>
      </c>
      <c r="M2" s="159" t="s">
        <v>72</v>
      </c>
      <c r="N2" s="159" t="s">
        <v>73</v>
      </c>
      <c r="O2" s="159" t="s">
        <v>74</v>
      </c>
      <c r="P2" s="159" t="s">
        <v>254</v>
      </c>
      <c r="Q2" s="159" t="s">
        <v>327</v>
      </c>
      <c r="R2" s="158" t="s">
        <v>640</v>
      </c>
      <c r="S2" s="159" t="s">
        <v>328</v>
      </c>
      <c r="T2" s="159" t="s">
        <v>321</v>
      </c>
      <c r="U2" s="159" t="s">
        <v>322</v>
      </c>
      <c r="W2" s="159" t="s">
        <v>1553</v>
      </c>
      <c r="X2" s="282" t="s">
        <v>1413</v>
      </c>
      <c r="Y2" s="673" t="s">
        <v>1511</v>
      </c>
      <c r="AA2" s="161"/>
      <c r="AB2" s="272">
        <v>1988</v>
      </c>
      <c r="AC2" s="162">
        <v>1989</v>
      </c>
      <c r="AD2" s="163">
        <v>1990</v>
      </c>
      <c r="AE2" s="163">
        <v>1991</v>
      </c>
      <c r="AF2" s="268">
        <v>1992</v>
      </c>
      <c r="AG2" s="163">
        <v>1993</v>
      </c>
      <c r="AH2" s="163">
        <v>1994</v>
      </c>
      <c r="AI2" s="163">
        <v>1995</v>
      </c>
      <c r="AJ2" s="276">
        <v>1996</v>
      </c>
      <c r="AK2" s="163">
        <v>1997</v>
      </c>
      <c r="AL2" s="163">
        <v>1998</v>
      </c>
      <c r="AM2" s="163">
        <v>1999</v>
      </c>
      <c r="AN2" s="163">
        <v>2000</v>
      </c>
      <c r="AO2" s="163">
        <v>2001</v>
      </c>
      <c r="AP2" s="163">
        <v>2002</v>
      </c>
      <c r="AQ2" s="163">
        <v>2003</v>
      </c>
      <c r="AR2" s="163">
        <v>2004</v>
      </c>
      <c r="AS2" s="163">
        <v>2005</v>
      </c>
      <c r="AT2" s="163">
        <v>2006</v>
      </c>
      <c r="AU2" s="163">
        <v>2007</v>
      </c>
      <c r="AV2" s="163">
        <v>2008</v>
      </c>
      <c r="AW2" s="163">
        <v>2009</v>
      </c>
      <c r="AX2" s="163">
        <v>2010</v>
      </c>
      <c r="AY2" s="163">
        <v>2011</v>
      </c>
      <c r="AZ2" s="163">
        <v>2012</v>
      </c>
      <c r="BA2" s="163">
        <v>2013</v>
      </c>
      <c r="BB2" s="163">
        <v>2014</v>
      </c>
      <c r="BC2" s="280" t="s">
        <v>101</v>
      </c>
      <c r="BD2" s="163" t="s">
        <v>324</v>
      </c>
      <c r="BE2" s="164" t="s">
        <v>1060</v>
      </c>
      <c r="BF2" s="165"/>
      <c r="BG2" s="166"/>
      <c r="BH2" s="167"/>
      <c r="BI2" s="163">
        <v>1988</v>
      </c>
      <c r="BJ2" s="163">
        <v>1989</v>
      </c>
      <c r="BK2" s="163">
        <v>1990</v>
      </c>
      <c r="BL2" s="163">
        <v>1991</v>
      </c>
      <c r="BM2" s="163">
        <v>1992</v>
      </c>
      <c r="BN2" s="163">
        <v>1993</v>
      </c>
      <c r="BO2" s="168">
        <v>1994</v>
      </c>
      <c r="BP2" s="168">
        <v>1995</v>
      </c>
      <c r="BQ2" s="168">
        <v>1996</v>
      </c>
      <c r="BR2" s="163">
        <v>1997</v>
      </c>
      <c r="BS2" s="163">
        <v>1998</v>
      </c>
      <c r="BT2" s="163">
        <v>1999</v>
      </c>
      <c r="BU2" s="163">
        <v>2000</v>
      </c>
      <c r="BV2" s="163">
        <v>2001</v>
      </c>
      <c r="BW2" s="163">
        <v>2002</v>
      </c>
      <c r="BX2" s="163">
        <v>2003</v>
      </c>
      <c r="BY2" s="163">
        <v>2004</v>
      </c>
      <c r="BZ2" s="163">
        <v>2005</v>
      </c>
      <c r="CA2" s="163">
        <v>2006</v>
      </c>
      <c r="CB2" s="163">
        <v>2007</v>
      </c>
      <c r="CC2" s="163">
        <v>2008</v>
      </c>
      <c r="CD2" s="163">
        <v>2009</v>
      </c>
      <c r="CE2" s="163">
        <v>2010</v>
      </c>
      <c r="CF2" s="163">
        <v>2011</v>
      </c>
      <c r="CG2" s="163">
        <v>2012</v>
      </c>
      <c r="CH2" s="163">
        <v>2013</v>
      </c>
      <c r="CI2" s="163">
        <v>2014</v>
      </c>
      <c r="CJ2" s="163"/>
      <c r="CK2" s="169" t="s">
        <v>323</v>
      </c>
      <c r="CL2" s="164" t="s">
        <v>907</v>
      </c>
      <c r="CM2" s="170"/>
      <c r="CN2" s="171">
        <v>1988</v>
      </c>
      <c r="CO2" s="171">
        <v>1989</v>
      </c>
      <c r="CP2" s="171">
        <v>1990</v>
      </c>
      <c r="CQ2" s="171">
        <v>1991</v>
      </c>
      <c r="CR2" s="171">
        <v>1992</v>
      </c>
      <c r="CS2" s="171">
        <v>1993</v>
      </c>
      <c r="CT2" s="172">
        <v>1994</v>
      </c>
      <c r="CU2" s="172">
        <v>1995</v>
      </c>
      <c r="CV2" s="173">
        <v>1996</v>
      </c>
      <c r="CW2" s="173">
        <v>1997</v>
      </c>
      <c r="CX2" s="173">
        <v>1998</v>
      </c>
      <c r="CY2" s="198">
        <v>1999</v>
      </c>
      <c r="CZ2" s="198">
        <v>2000</v>
      </c>
      <c r="DA2" s="198">
        <v>2001</v>
      </c>
      <c r="DB2" s="198">
        <v>2002</v>
      </c>
      <c r="DC2" s="198">
        <v>2003</v>
      </c>
      <c r="DD2" s="198">
        <v>2004</v>
      </c>
      <c r="DE2" s="198">
        <v>2005</v>
      </c>
      <c r="DF2" s="198">
        <v>2006</v>
      </c>
      <c r="DG2" s="198">
        <v>2007</v>
      </c>
      <c r="DH2" s="198">
        <v>2008</v>
      </c>
      <c r="DI2" s="198">
        <v>2009</v>
      </c>
      <c r="DJ2" s="198">
        <f>CE2</f>
        <v>2010</v>
      </c>
      <c r="DK2" s="198">
        <f>CI2</f>
        <v>2014</v>
      </c>
      <c r="DL2" s="161"/>
      <c r="DM2" s="161">
        <v>1988</v>
      </c>
      <c r="DN2" s="161">
        <v>1989</v>
      </c>
      <c r="DO2" s="161">
        <v>1990</v>
      </c>
      <c r="DP2" s="161">
        <v>1991</v>
      </c>
      <c r="DQ2" s="161">
        <v>1992</v>
      </c>
      <c r="DR2" s="161">
        <v>1993</v>
      </c>
      <c r="DS2" s="161">
        <v>1994</v>
      </c>
      <c r="DT2" s="161">
        <v>1995</v>
      </c>
      <c r="DU2" s="161">
        <v>1996</v>
      </c>
      <c r="DV2" s="162">
        <v>1997</v>
      </c>
      <c r="DW2" s="162">
        <v>1998</v>
      </c>
      <c r="DX2" s="162">
        <v>1999</v>
      </c>
      <c r="DY2" s="162">
        <v>2000</v>
      </c>
      <c r="DZ2" s="162">
        <v>2001</v>
      </c>
      <c r="EA2" s="162">
        <v>2002</v>
      </c>
      <c r="EB2" s="162">
        <v>2003</v>
      </c>
      <c r="EC2" s="162">
        <v>2004</v>
      </c>
      <c r="ED2" s="162">
        <v>2005</v>
      </c>
      <c r="EE2" s="162">
        <v>2006</v>
      </c>
      <c r="EF2" s="162">
        <v>2007</v>
      </c>
      <c r="EG2" s="162">
        <v>2008</v>
      </c>
      <c r="EH2" s="162">
        <v>2009</v>
      </c>
      <c r="EI2" s="162">
        <v>2010</v>
      </c>
      <c r="EJ2" s="162">
        <v>2010</v>
      </c>
      <c r="EK2" s="169" t="s">
        <v>324</v>
      </c>
      <c r="EL2" s="164" t="s">
        <v>112</v>
      </c>
      <c r="EM2" s="164" t="s">
        <v>907</v>
      </c>
      <c r="EN2" s="403"/>
      <c r="EO2" s="174">
        <v>1988</v>
      </c>
      <c r="EP2" s="174">
        <v>1989</v>
      </c>
      <c r="EQ2" s="174">
        <v>1990</v>
      </c>
      <c r="ER2" s="174">
        <v>1991</v>
      </c>
      <c r="ES2" s="174">
        <v>1992</v>
      </c>
      <c r="ET2" s="174">
        <v>1993</v>
      </c>
      <c r="EU2" s="175">
        <v>1994</v>
      </c>
      <c r="EV2" s="175">
        <v>1995</v>
      </c>
      <c r="EW2" s="175">
        <v>1996</v>
      </c>
      <c r="EX2" s="175">
        <v>1997</v>
      </c>
      <c r="EY2" s="175">
        <v>1998</v>
      </c>
      <c r="EZ2" s="174">
        <v>1999</v>
      </c>
      <c r="FA2" s="174">
        <v>2000</v>
      </c>
      <c r="FB2" s="174">
        <v>2001</v>
      </c>
      <c r="FC2" s="174">
        <v>2002</v>
      </c>
      <c r="FD2" s="174">
        <v>2003</v>
      </c>
      <c r="FE2" s="174">
        <v>2004</v>
      </c>
      <c r="FF2" s="174">
        <v>2005</v>
      </c>
      <c r="FG2" s="174">
        <v>2006</v>
      </c>
      <c r="FH2" s="174">
        <v>2007</v>
      </c>
      <c r="FI2" s="174">
        <v>2008</v>
      </c>
      <c r="FJ2" s="174">
        <v>2009</v>
      </c>
      <c r="FK2" s="174">
        <v>2010</v>
      </c>
      <c r="FL2" s="174">
        <v>2011</v>
      </c>
      <c r="FM2" s="170"/>
      <c r="FN2" s="171">
        <v>1988</v>
      </c>
      <c r="FO2" s="171">
        <v>1989</v>
      </c>
      <c r="FP2" s="171">
        <v>1990</v>
      </c>
      <c r="FQ2" s="171">
        <v>1991</v>
      </c>
      <c r="FR2" s="171">
        <v>1992</v>
      </c>
      <c r="FS2" s="171">
        <v>1993</v>
      </c>
      <c r="FT2" s="171">
        <v>1994</v>
      </c>
      <c r="FU2" s="171">
        <v>1995</v>
      </c>
      <c r="FV2" s="171">
        <v>1996</v>
      </c>
      <c r="FW2" s="171">
        <v>1997</v>
      </c>
      <c r="FX2" s="171">
        <v>1998</v>
      </c>
      <c r="FY2" s="171">
        <v>1999</v>
      </c>
      <c r="FZ2" s="171">
        <v>2000</v>
      </c>
      <c r="GA2" s="171">
        <v>2001</v>
      </c>
      <c r="GB2" s="641">
        <v>2002</v>
      </c>
      <c r="GC2" s="641">
        <v>2003</v>
      </c>
      <c r="GD2" s="641">
        <v>2004</v>
      </c>
      <c r="GE2" s="641">
        <v>2005</v>
      </c>
      <c r="GF2" s="641">
        <v>2006</v>
      </c>
      <c r="GG2" s="641">
        <v>2007</v>
      </c>
      <c r="GH2" s="641">
        <v>2008</v>
      </c>
      <c r="GI2" s="641">
        <v>2009</v>
      </c>
      <c r="GJ2" s="641">
        <v>2010</v>
      </c>
      <c r="GK2" s="641">
        <v>2010</v>
      </c>
      <c r="GL2" s="176">
        <f>A5</f>
        <v>30741</v>
      </c>
      <c r="GM2" s="177">
        <f>SUM(B3:B5)</f>
        <v>1088506</v>
      </c>
      <c r="GN2" s="177">
        <f>SUM(C3:C5)</f>
        <v>135991</v>
      </c>
      <c r="GO2" s="177"/>
      <c r="GQ2" s="178"/>
      <c r="GS2" s="119"/>
      <c r="GT2" s="159" t="s">
        <v>1259</v>
      </c>
      <c r="GU2" s="201" t="s">
        <v>1260</v>
      </c>
      <c r="GV2" s="119"/>
      <c r="GW2" s="119"/>
      <c r="GZ2" s="160" t="s">
        <v>778</v>
      </c>
      <c r="HA2" s="160" t="s">
        <v>778</v>
      </c>
      <c r="HB2" s="160" t="s">
        <v>778</v>
      </c>
      <c r="HC2" s="362" t="s">
        <v>1616</v>
      </c>
      <c r="HD2" s="385" t="s">
        <v>1616</v>
      </c>
      <c r="HE2" s="386" t="s">
        <v>1617</v>
      </c>
      <c r="HF2" s="386" t="s">
        <v>1368</v>
      </c>
      <c r="HG2" s="386" t="s">
        <v>1098</v>
      </c>
      <c r="HH2" s="390" t="s">
        <v>1241</v>
      </c>
      <c r="HI2" s="391" t="s">
        <v>1498</v>
      </c>
      <c r="HJ2" s="392" t="s">
        <v>1434</v>
      </c>
      <c r="HK2" s="178"/>
    </row>
    <row r="3" spans="1:219" ht="16">
      <c r="A3" s="24">
        <v>30681</v>
      </c>
      <c r="B3" s="25">
        <f t="shared" ref="B3:B14" si="0">BI3</f>
        <v>346277</v>
      </c>
      <c r="C3" s="25">
        <f t="shared" ref="C3:C14" si="1">AB3</f>
        <v>14000</v>
      </c>
      <c r="D3" s="25"/>
      <c r="E3" s="25"/>
      <c r="F3"/>
      <c r="G3"/>
      <c r="H3" s="25"/>
      <c r="I3" s="25"/>
      <c r="J3" s="25"/>
      <c r="K3" s="25"/>
      <c r="L3" s="25"/>
      <c r="M3" s="25"/>
      <c r="O3" s="25"/>
      <c r="P3" s="25"/>
      <c r="Q3" s="25"/>
      <c r="R3" s="25">
        <f t="shared" ref="R3:R14" si="2">BI3</f>
        <v>346277</v>
      </c>
      <c r="S3" s="25"/>
      <c r="T3" s="25"/>
      <c r="U3" s="25"/>
      <c r="V3" s="25"/>
      <c r="W3" s="25"/>
      <c r="Y3" s="674"/>
      <c r="Z3" s="25"/>
      <c r="AA3" s="22" t="s">
        <v>387</v>
      </c>
      <c r="AB3" s="273">
        <v>14000</v>
      </c>
      <c r="AC3" s="26">
        <v>23394</v>
      </c>
      <c r="AD3" s="26">
        <v>97062</v>
      </c>
      <c r="AE3" s="26">
        <v>-275901</v>
      </c>
      <c r="AF3" s="269">
        <v>46377</v>
      </c>
      <c r="AG3" s="26">
        <v>38218</v>
      </c>
      <c r="AH3" s="26">
        <f t="shared" ref="AH3:AJ14" si="3">AH46+AH62</f>
        <v>-277738</v>
      </c>
      <c r="AI3" s="26">
        <f t="shared" si="3"/>
        <v>-284840.614</v>
      </c>
      <c r="AJ3" s="277">
        <f>AJ62+AJ46</f>
        <v>-163729.00200000001</v>
      </c>
      <c r="AK3" s="26">
        <f>AK62+AK46</f>
        <v>76783.667000000001</v>
      </c>
      <c r="AL3" s="26">
        <v>82431</v>
      </c>
      <c r="AM3" s="26">
        <v>214483</v>
      </c>
      <c r="AN3" s="26">
        <v>87291</v>
      </c>
      <c r="AO3" s="26">
        <v>64077</v>
      </c>
      <c r="AP3" s="26">
        <v>-69909</v>
      </c>
      <c r="AQ3" s="26">
        <v>-177220</v>
      </c>
      <c r="AR3" s="26">
        <v>-52970</v>
      </c>
      <c r="AS3" s="26">
        <v>-290236</v>
      </c>
      <c r="AT3" s="26">
        <v>-69772</v>
      </c>
      <c r="AU3" s="26">
        <v>-227970</v>
      </c>
      <c r="AV3" s="26">
        <v>82653</v>
      </c>
      <c r="AW3" s="26">
        <v>-156557</v>
      </c>
      <c r="AX3" s="26">
        <v>-376885</v>
      </c>
      <c r="AY3" s="26">
        <v>-39094</v>
      </c>
      <c r="AZ3" s="26">
        <v>-270510</v>
      </c>
      <c r="BA3" s="26">
        <v>-156870</v>
      </c>
      <c r="BB3" s="26"/>
      <c r="BC3" s="311">
        <f>IF(H255&lt;&gt;"",H243/I255 -1,"NA")</f>
        <v>0</v>
      </c>
      <c r="BD3" s="26">
        <f t="shared" ref="BD3:BD14" si="4">AVERAGE(AM3:AO3)</f>
        <v>121950.33333333333</v>
      </c>
      <c r="BE3" s="93">
        <f t="shared" ref="BE3:BE14" si="5">AVERAGE(AE3:AN3)</f>
        <v>-45662.494900000005</v>
      </c>
      <c r="BF3" s="27"/>
      <c r="BG3" s="28"/>
      <c r="BH3" s="23" t="s">
        <v>387</v>
      </c>
      <c r="BI3" s="26">
        <f>486350-140073</f>
        <v>346277</v>
      </c>
      <c r="BJ3" s="26">
        <f>269016+42880+117424+51</f>
        <v>429371</v>
      </c>
      <c r="BK3" s="26">
        <v>741407</v>
      </c>
      <c r="BL3" s="26">
        <v>720116</v>
      </c>
      <c r="BM3" s="26">
        <v>1016229</v>
      </c>
      <c r="BN3" s="26">
        <f>1264800+BK57*0.8</f>
        <v>1285020</v>
      </c>
      <c r="BO3" s="29">
        <v>848032.79</v>
      </c>
      <c r="BP3" s="29">
        <f t="shared" ref="BP3:BP9" si="6">BM40+BM56*0.8</f>
        <v>1025076.2388000001</v>
      </c>
      <c r="BQ3" s="29">
        <f>BN40+BN56</f>
        <v>1030179.048</v>
      </c>
      <c r="BR3" s="29">
        <f>BO40+BO56</f>
        <v>1052245.7279999999</v>
      </c>
      <c r="BS3" s="29">
        <v>947414</v>
      </c>
      <c r="BT3" s="26">
        <v>935508</v>
      </c>
      <c r="BU3" s="26">
        <v>909246</v>
      </c>
      <c r="BV3" s="26">
        <v>941149</v>
      </c>
      <c r="BW3" s="26">
        <v>882527</v>
      </c>
      <c r="BX3" s="26">
        <v>700486</v>
      </c>
      <c r="BY3" s="26">
        <v>1036928</v>
      </c>
      <c r="BZ3" s="26">
        <v>692392</v>
      </c>
      <c r="CA3" s="26">
        <v>991617</v>
      </c>
      <c r="CB3" s="26">
        <v>1012893</v>
      </c>
      <c r="CC3" s="26">
        <v>1444774</v>
      </c>
      <c r="CD3" s="26">
        <v>1360922</v>
      </c>
      <c r="CE3" s="777">
        <v>1068538</v>
      </c>
      <c r="CF3" s="777">
        <v>1492295</v>
      </c>
      <c r="CG3" s="777">
        <v>1357571</v>
      </c>
      <c r="CH3" s="777"/>
      <c r="CI3" s="777"/>
      <c r="CJ3" s="650">
        <f>IF(W255&lt;&gt;"",W255/W243 -1,"NA")</f>
        <v>0.2899627437342116</v>
      </c>
      <c r="CK3" s="89">
        <f t="shared" ref="CK3:CK14" si="7">AVERAGE(BO3:BS3)</f>
        <v>980589.56096000003</v>
      </c>
      <c r="CL3" s="90">
        <f t="shared" ref="CL3:CL14" si="8">AVERAGE(BJ3:BT3)</f>
        <v>911872.61861818179</v>
      </c>
      <c r="CM3" s="30" t="s">
        <v>387</v>
      </c>
      <c r="CN3" s="31">
        <f t="shared" ref="CN3:CN14" si="9">AB3/BI3</f>
        <v>4.0430060327425729E-2</v>
      </c>
      <c r="CO3" s="31">
        <f t="shared" ref="CO3:CO14" si="10">AC3/BJ3</f>
        <v>5.448435036367151E-2</v>
      </c>
      <c r="CP3" s="31">
        <f t="shared" ref="CP3:CP14" si="11">AD3/BK3</f>
        <v>0.13091594765088541</v>
      </c>
      <c r="CQ3" s="31">
        <f t="shared" ref="CQ3:CQ14" si="12">AE3/BL3</f>
        <v>-0.38313410617178345</v>
      </c>
      <c r="CR3" s="31">
        <f t="shared" ref="CR3:CR14" si="13">AF3/BM3</f>
        <v>4.5636367393569757E-2</v>
      </c>
      <c r="CS3" s="31">
        <f t="shared" ref="CS3:CS14" si="14">AG3/BN3</f>
        <v>2.9741171343636675E-2</v>
      </c>
      <c r="CT3" s="32">
        <f t="shared" ref="CT3:CT14" si="15">AH3/BO3</f>
        <v>-0.32750856249320265</v>
      </c>
      <c r="CU3" s="32">
        <f t="shared" ref="CU3:DF3" si="16">IF(BP3&gt;0,AI3/BP3,)</f>
        <v>-0.27787261397595864</v>
      </c>
      <c r="CV3" s="76">
        <f t="shared" si="16"/>
        <v>-0.15893256838980094</v>
      </c>
      <c r="CW3" s="76">
        <f t="shared" si="16"/>
        <v>7.2971231867999573E-2</v>
      </c>
      <c r="CX3" s="76">
        <f t="shared" si="16"/>
        <v>8.7006314029558357E-2</v>
      </c>
      <c r="CY3" s="76">
        <f t="shared" si="16"/>
        <v>0.22926901747499753</v>
      </c>
      <c r="CZ3" s="76">
        <f t="shared" si="16"/>
        <v>9.6003721765066885E-2</v>
      </c>
      <c r="DA3" s="76">
        <f t="shared" si="16"/>
        <v>6.8083799695903627E-2</v>
      </c>
      <c r="DB3" s="76">
        <f t="shared" si="16"/>
        <v>-7.9214573605113497E-2</v>
      </c>
      <c r="DC3" s="76">
        <f t="shared" si="16"/>
        <v>-0.2529957772175318</v>
      </c>
      <c r="DD3" s="76">
        <f t="shared" si="16"/>
        <v>-5.1083585359832116E-2</v>
      </c>
      <c r="DE3" s="76">
        <f t="shared" si="16"/>
        <v>-0.41917873112340986</v>
      </c>
      <c r="DF3" s="76">
        <f t="shared" si="16"/>
        <v>-7.0361843332657673E-2</v>
      </c>
      <c r="DG3" s="76">
        <f t="shared" ref="DG3:DG14" si="17">IF(CB3&gt;0,AU3/CB3,"")</f>
        <v>-0.2250681957521673</v>
      </c>
      <c r="DH3" s="76">
        <f t="shared" ref="DH3:DH14" si="18">IF(CC3&gt;0,AV3/CC3,"")</f>
        <v>5.720825540880442E-2</v>
      </c>
      <c r="DI3" s="76">
        <f t="shared" ref="DI3:DI14" si="19">IF(CD3&gt;0,AW3/CD3,"")</f>
        <v>-0.11503745255055028</v>
      </c>
      <c r="DJ3" s="76">
        <f t="shared" ref="DJ3:DJ14" si="20">IF(CE3&gt;0,AX3/CE3,"")</f>
        <v>-0.35271090031426117</v>
      </c>
      <c r="DK3" s="76" t="str">
        <f t="shared" ref="DK3:DK14" si="21">IF(CI3&gt;0,BB3/CI3,"")</f>
        <v/>
      </c>
      <c r="DL3" s="22" t="s">
        <v>387</v>
      </c>
      <c r="DM3" s="26">
        <f t="shared" ref="DM3:EI3" si="22">AB3</f>
        <v>14000</v>
      </c>
      <c r="DN3" s="26">
        <f t="shared" si="22"/>
        <v>23394</v>
      </c>
      <c r="DO3" s="26">
        <f t="shared" si="22"/>
        <v>97062</v>
      </c>
      <c r="DP3" s="26">
        <f t="shared" si="22"/>
        <v>-275901</v>
      </c>
      <c r="DQ3" s="26">
        <f t="shared" si="22"/>
        <v>46377</v>
      </c>
      <c r="DR3" s="26">
        <f t="shared" si="22"/>
        <v>38218</v>
      </c>
      <c r="DS3" s="26">
        <f t="shared" si="22"/>
        <v>-277738</v>
      </c>
      <c r="DT3" s="26">
        <f t="shared" si="22"/>
        <v>-284840.614</v>
      </c>
      <c r="DU3" s="26">
        <f t="shared" si="22"/>
        <v>-163729.00200000001</v>
      </c>
      <c r="DV3" s="26">
        <f t="shared" si="22"/>
        <v>76783.667000000001</v>
      </c>
      <c r="DW3" s="26">
        <f t="shared" si="22"/>
        <v>82431</v>
      </c>
      <c r="DX3" s="26">
        <f t="shared" si="22"/>
        <v>214483</v>
      </c>
      <c r="DY3" s="26">
        <f t="shared" si="22"/>
        <v>87291</v>
      </c>
      <c r="DZ3" s="26">
        <f t="shared" si="22"/>
        <v>64077</v>
      </c>
      <c r="EA3" s="26">
        <f t="shared" si="22"/>
        <v>-69909</v>
      </c>
      <c r="EB3" s="26">
        <f t="shared" si="22"/>
        <v>-177220</v>
      </c>
      <c r="EC3" s="26">
        <f t="shared" si="22"/>
        <v>-52970</v>
      </c>
      <c r="ED3" s="26">
        <f t="shared" si="22"/>
        <v>-290236</v>
      </c>
      <c r="EE3" s="26">
        <f t="shared" si="22"/>
        <v>-69772</v>
      </c>
      <c r="EF3" s="26">
        <f t="shared" si="22"/>
        <v>-227970</v>
      </c>
      <c r="EG3" s="26">
        <f t="shared" si="22"/>
        <v>82653</v>
      </c>
      <c r="EH3" s="26">
        <f t="shared" si="22"/>
        <v>-156557</v>
      </c>
      <c r="EI3" s="26">
        <f t="shared" si="22"/>
        <v>-376885</v>
      </c>
      <c r="EJ3" s="26">
        <f>BB3</f>
        <v>0</v>
      </c>
      <c r="EK3" s="360">
        <f>AVERAGE(DX3:DZ3)</f>
        <v>121950.33333333333</v>
      </c>
      <c r="EL3" s="359">
        <f t="shared" ref="EL3:EL14" si="23">AVERAGE(DT3:EC3)</f>
        <v>-22360.294900000001</v>
      </c>
      <c r="EM3" s="93">
        <f>AVERAGE(DO3:DW3)</f>
        <v>-73481.883222222226</v>
      </c>
      <c r="EN3" s="404" t="s">
        <v>387</v>
      </c>
      <c r="EO3" s="33">
        <f t="shared" ref="EO3:EW3" si="24">BI3</f>
        <v>346277</v>
      </c>
      <c r="EP3" s="33">
        <f t="shared" si="24"/>
        <v>429371</v>
      </c>
      <c r="EQ3" s="33">
        <f t="shared" si="24"/>
        <v>741407</v>
      </c>
      <c r="ER3" s="33">
        <f t="shared" si="24"/>
        <v>720116</v>
      </c>
      <c r="ES3" s="33">
        <f t="shared" si="24"/>
        <v>1016229</v>
      </c>
      <c r="ET3" s="33">
        <f t="shared" si="24"/>
        <v>1285020</v>
      </c>
      <c r="EU3" s="34">
        <f t="shared" si="24"/>
        <v>848032.79</v>
      </c>
      <c r="EV3" s="34">
        <f t="shared" si="24"/>
        <v>1025076.2388000001</v>
      </c>
      <c r="EW3" s="34">
        <f t="shared" si="24"/>
        <v>1030179.048</v>
      </c>
      <c r="EX3" s="34">
        <f t="shared" ref="EX3:FC3" si="25">IF(BR3&gt;0,EX2+BR3,EW16)</f>
        <v>1054242.7279999999</v>
      </c>
      <c r="EY3" s="34">
        <f t="shared" si="25"/>
        <v>949412</v>
      </c>
      <c r="EZ3" s="34">
        <f t="shared" si="25"/>
        <v>937507</v>
      </c>
      <c r="FA3" s="34">
        <f t="shared" si="25"/>
        <v>911246</v>
      </c>
      <c r="FB3" s="34">
        <f t="shared" si="25"/>
        <v>943150</v>
      </c>
      <c r="FC3" s="34">
        <f t="shared" si="25"/>
        <v>884529</v>
      </c>
      <c r="FD3" s="34">
        <f>IF(BX3&gt;0,FD2+BX3,FD16)</f>
        <v>702489</v>
      </c>
      <c r="FE3" s="34">
        <f>IF(BY3&gt;0,FE2+BY3,FE16)</f>
        <v>1038932</v>
      </c>
      <c r="FF3" s="34">
        <f>IF(BZ3&gt;0,FF2+BZ3,FF16)</f>
        <v>694397</v>
      </c>
      <c r="FG3" s="34">
        <f>IF(CA3&gt;0,FG2+CA3,FG16)</f>
        <v>993623</v>
      </c>
      <c r="FH3" s="34">
        <f>CB3</f>
        <v>1012893</v>
      </c>
      <c r="FI3" s="34">
        <f>CC3</f>
        <v>1444774</v>
      </c>
      <c r="FJ3" s="34">
        <f>CD3</f>
        <v>1360922</v>
      </c>
      <c r="FK3" s="34">
        <f>CE3</f>
        <v>1068538</v>
      </c>
      <c r="FL3" s="34">
        <f>CI3</f>
        <v>0</v>
      </c>
      <c r="FM3" s="30" t="s">
        <v>387</v>
      </c>
      <c r="FN3" s="31">
        <f t="shared" ref="FN3:GK3" si="26">DM3/EO3</f>
        <v>4.0430060327425729E-2</v>
      </c>
      <c r="FO3" s="31">
        <f t="shared" si="26"/>
        <v>5.448435036367151E-2</v>
      </c>
      <c r="FP3" s="31">
        <f t="shared" si="26"/>
        <v>0.13091594765088541</v>
      </c>
      <c r="FQ3" s="31">
        <f t="shared" si="26"/>
        <v>-0.38313410617178345</v>
      </c>
      <c r="FR3" s="31">
        <f t="shared" si="26"/>
        <v>4.5636367393569757E-2</v>
      </c>
      <c r="FS3" s="31">
        <f t="shared" si="26"/>
        <v>2.9741171343636675E-2</v>
      </c>
      <c r="FT3" s="31">
        <f t="shared" si="26"/>
        <v>-0.32750856249320265</v>
      </c>
      <c r="FU3" s="31">
        <f t="shared" si="26"/>
        <v>-0.27787261397595864</v>
      </c>
      <c r="FV3" s="31">
        <f t="shared" si="26"/>
        <v>-0.15893256838980094</v>
      </c>
      <c r="FW3" s="31">
        <f t="shared" si="26"/>
        <v>7.283300606271767E-2</v>
      </c>
      <c r="FX3" s="31">
        <f t="shared" si="26"/>
        <v>8.6823212683218659E-2</v>
      </c>
      <c r="FY3" s="31">
        <f t="shared" si="26"/>
        <v>0.22878015844148364</v>
      </c>
      <c r="FZ3" s="31">
        <f t="shared" si="26"/>
        <v>9.5793013083184997E-2</v>
      </c>
      <c r="GA3" s="31">
        <f t="shared" si="26"/>
        <v>6.7939352170916609E-2</v>
      </c>
      <c r="GB3" s="31">
        <f t="shared" si="26"/>
        <v>-7.9035283184610117E-2</v>
      </c>
      <c r="GC3" s="31">
        <f t="shared" si="26"/>
        <v>-0.25227441283778107</v>
      </c>
      <c r="GD3" s="31">
        <f t="shared" si="26"/>
        <v>-5.0985050032148399E-2</v>
      </c>
      <c r="GE3" s="31">
        <f t="shared" si="26"/>
        <v>-0.41796839560078747</v>
      </c>
      <c r="GF3" s="31">
        <f t="shared" si="26"/>
        <v>-7.0219791611104004E-2</v>
      </c>
      <c r="GG3" s="31">
        <f t="shared" si="26"/>
        <v>-0.2250681957521673</v>
      </c>
      <c r="GH3" s="31">
        <f t="shared" si="26"/>
        <v>5.720825540880442E-2</v>
      </c>
      <c r="GI3" s="31">
        <f t="shared" si="26"/>
        <v>-0.11503745255055028</v>
      </c>
      <c r="GJ3" s="31">
        <f t="shared" si="26"/>
        <v>-0.35271090031426117</v>
      </c>
      <c r="GK3" s="31" t="e">
        <f t="shared" si="26"/>
        <v>#DIV/0!</v>
      </c>
      <c r="GL3" s="24">
        <f>A8</f>
        <v>30833</v>
      </c>
      <c r="GM3" s="97">
        <f>SUM(B6:B8)</f>
        <v>1186679</v>
      </c>
      <c r="GN3" s="97">
        <f>SUM(C6:C8)</f>
        <v>35583</v>
      </c>
      <c r="GO3" s="5">
        <f t="shared" ref="GO3:GO14" si="27">((GN2-GN3)^2)^0.5</f>
        <v>100408</v>
      </c>
      <c r="GP3" s="25" t="e">
        <f t="shared" ref="GP3:GP15" si="28">$GN$115+1.023*$GO$115</f>
        <v>#DIV/0!</v>
      </c>
      <c r="GQ3" s="25" t="e">
        <f t="shared" ref="GQ3:GQ15" si="29">$GN$115-1.023*$GO$115</f>
        <v>#DIV/0!</v>
      </c>
      <c r="GS3"/>
      <c r="GT3" s="179"/>
      <c r="GU3" s="179"/>
      <c r="GV3"/>
      <c r="GW3"/>
      <c r="GX3" s="6"/>
      <c r="GY3" s="48"/>
      <c r="GZ3" s="48"/>
      <c r="HA3" s="48"/>
      <c r="HB3" s="48"/>
      <c r="HC3" s="363">
        <v>1</v>
      </c>
      <c r="HD3" s="146" t="s">
        <v>216</v>
      </c>
      <c r="HE3" s="364">
        <v>1050000</v>
      </c>
      <c r="HF3" s="365">
        <v>0.02</v>
      </c>
      <c r="HG3" s="366" t="s">
        <v>1395</v>
      </c>
      <c r="HH3" s="401">
        <v>0.01</v>
      </c>
      <c r="HI3" s="662">
        <f>GV57</f>
        <v>2639717</v>
      </c>
      <c r="HJ3" s="367">
        <f>IF(HI3&gt;HE3,HF3,IF(HI3&lt;HG3,-HH3,))</f>
        <v>0.02</v>
      </c>
      <c r="HK3" s="185"/>
    </row>
    <row r="4" spans="1:219" ht="16">
      <c r="A4" s="24">
        <v>30712</v>
      </c>
      <c r="B4" s="25">
        <f t="shared" si="0"/>
        <v>403848</v>
      </c>
      <c r="C4" s="25">
        <f t="shared" si="1"/>
        <v>116098</v>
      </c>
      <c r="D4" s="25"/>
      <c r="E4" s="25"/>
      <c r="F4"/>
      <c r="G4"/>
      <c r="H4" s="25"/>
      <c r="I4" s="25"/>
      <c r="J4" s="25"/>
      <c r="K4" s="25"/>
      <c r="L4" s="25">
        <f t="shared" ref="L4:L35" si="30">((C3-C4)^2)^0.5</f>
        <v>102098</v>
      </c>
      <c r="M4" s="25"/>
      <c r="N4" s="25"/>
      <c r="O4" s="25"/>
      <c r="P4" s="25">
        <f t="shared" ref="P4:P35" si="31">$C$317+1.88*$L$317</f>
        <v>347835.3593688212</v>
      </c>
      <c r="Q4" s="25">
        <f t="shared" ref="Q4:Q35" si="32">$C$317-1.88*$L$317</f>
        <v>-222153.80880728277</v>
      </c>
      <c r="R4" s="25">
        <f t="shared" si="2"/>
        <v>403848</v>
      </c>
      <c r="S4" s="25">
        <f t="shared" ref="S4:S35" si="33">IF(R4&gt;0,ABS(R3-R4)," ")</f>
        <v>57571</v>
      </c>
      <c r="T4" s="25">
        <f t="shared" ref="T4:T35" si="34">$R$317+1.88*$S$317</f>
        <v>1418522.2143234741</v>
      </c>
      <c r="U4" s="25">
        <f t="shared" ref="U4:U35" si="35">$R$317-1.88*$S$317</f>
        <v>776443.85114146117</v>
      </c>
      <c r="V4" s="25"/>
      <c r="W4" s="25"/>
      <c r="Y4" s="25"/>
      <c r="Z4" s="25"/>
      <c r="AA4" s="22" t="s">
        <v>496</v>
      </c>
      <c r="AB4" s="273">
        <v>116098</v>
      </c>
      <c r="AC4" s="26">
        <v>-95212</v>
      </c>
      <c r="AD4" s="26">
        <v>-132682</v>
      </c>
      <c r="AE4" s="26">
        <v>-106520</v>
      </c>
      <c r="AF4" s="269">
        <v>-79752</v>
      </c>
      <c r="AG4" s="26">
        <v>-183455</v>
      </c>
      <c r="AH4" s="26">
        <f t="shared" si="3"/>
        <v>-155341.32999999999</v>
      </c>
      <c r="AI4" s="26">
        <f t="shared" si="3"/>
        <v>-62046.83</v>
      </c>
      <c r="AJ4" s="277">
        <f>AJ63+AJ47</f>
        <v>136266.592</v>
      </c>
      <c r="AK4" s="26">
        <f>IF(AK63+AK47&lt;&gt;0,AK63+AK47," ")</f>
        <v>7525.8210000000017</v>
      </c>
      <c r="AL4" s="26">
        <v>-201020</v>
      </c>
      <c r="AM4" s="26">
        <v>-61164</v>
      </c>
      <c r="AN4" s="26">
        <v>110829</v>
      </c>
      <c r="AO4" s="26">
        <v>276426</v>
      </c>
      <c r="AP4" s="26">
        <v>32275</v>
      </c>
      <c r="AQ4" s="26">
        <v>28482</v>
      </c>
      <c r="AR4" s="26">
        <v>-220289</v>
      </c>
      <c r="AS4" s="26">
        <v>-266960</v>
      </c>
      <c r="AT4" s="26">
        <v>79586</v>
      </c>
      <c r="AU4" s="26">
        <v>-268790</v>
      </c>
      <c r="AV4" s="26">
        <v>160431</v>
      </c>
      <c r="AW4" s="26">
        <v>96262</v>
      </c>
      <c r="AX4" s="26">
        <v>-264312</v>
      </c>
      <c r="AY4" s="26">
        <v>12074</v>
      </c>
      <c r="AZ4" s="26">
        <v>-260145</v>
      </c>
      <c r="BA4" s="26">
        <v>-115365</v>
      </c>
      <c r="BB4" s="26"/>
      <c r="BC4" s="311">
        <f t="shared" ref="BC4:BC14" si="36">IF(H256&lt;&gt;"",H244/I256 -1,"NA")</f>
        <v>0</v>
      </c>
      <c r="BD4" s="26">
        <f t="shared" si="4"/>
        <v>108697</v>
      </c>
      <c r="BE4" s="93">
        <f t="shared" si="5"/>
        <v>-59467.774699999994</v>
      </c>
      <c r="BF4" s="27"/>
      <c r="BG4" s="28"/>
      <c r="BH4" s="23" t="s">
        <v>496</v>
      </c>
      <c r="BI4" s="26">
        <f>308175+95371+302</f>
        <v>403848</v>
      </c>
      <c r="BJ4" s="26">
        <f>295421-4020+111493+50.72+2557</f>
        <v>405501.72</v>
      </c>
      <c r="BK4" s="26">
        <v>504044</v>
      </c>
      <c r="BL4" s="26">
        <v>855670</v>
      </c>
      <c r="BM4" s="26">
        <v>941820</v>
      </c>
      <c r="BN4" s="26">
        <f>1077666+BK57*0.8</f>
        <v>1097886</v>
      </c>
      <c r="BO4" s="29">
        <v>1139825.47</v>
      </c>
      <c r="BP4" s="29">
        <f t="shared" si="6"/>
        <v>1412739.4191999999</v>
      </c>
      <c r="BQ4" s="29">
        <f t="shared" ref="BQ4:BQ10" si="37">BN41+BN56*0.8</f>
        <v>1382684.8384</v>
      </c>
      <c r="BR4" s="29">
        <f t="shared" ref="BR4:BR12" si="38">BO41+BO57</f>
        <v>1064139.29</v>
      </c>
      <c r="BS4" s="29">
        <v>861699</v>
      </c>
      <c r="BT4" s="26">
        <v>785719</v>
      </c>
      <c r="BU4" s="26">
        <v>942247</v>
      </c>
      <c r="BV4" s="26">
        <v>1241801</v>
      </c>
      <c r="BW4" s="26">
        <v>1073357</v>
      </c>
      <c r="BX4" s="26">
        <v>957141</v>
      </c>
      <c r="BY4" s="26">
        <v>909860</v>
      </c>
      <c r="BZ4" s="26">
        <v>811487</v>
      </c>
      <c r="CA4" s="26">
        <v>1357067</v>
      </c>
      <c r="CB4" s="26">
        <v>1032371</v>
      </c>
      <c r="CC4" s="26">
        <v>1672737</v>
      </c>
      <c r="CD4" s="26">
        <v>1732312</v>
      </c>
      <c r="CE4" s="777">
        <v>1312118</v>
      </c>
      <c r="CF4" s="777">
        <v>1626785</v>
      </c>
      <c r="CG4" s="777">
        <v>1439772</v>
      </c>
      <c r="CH4" s="777">
        <v>1495746</v>
      </c>
      <c r="CI4" s="777"/>
      <c r="CJ4" s="650">
        <f t="shared" ref="CJ4:CJ15" si="39">IF(W256&lt;&gt;"",W256/W244 -1,"NA")</f>
        <v>0.2542699540941662</v>
      </c>
      <c r="CK4" s="89">
        <f t="shared" si="7"/>
        <v>1172217.6035199999</v>
      </c>
      <c r="CL4" s="90">
        <f t="shared" si="8"/>
        <v>950157.15796363621</v>
      </c>
      <c r="CM4" s="35" t="s">
        <v>496</v>
      </c>
      <c r="CN4" s="36">
        <f t="shared" si="9"/>
        <v>0.28747944771300094</v>
      </c>
      <c r="CO4" s="36">
        <f t="shared" si="10"/>
        <v>-0.23480048370694953</v>
      </c>
      <c r="CP4" s="36">
        <f t="shared" si="11"/>
        <v>-0.26323495567847249</v>
      </c>
      <c r="CQ4" s="36">
        <f t="shared" si="12"/>
        <v>-0.12448724391412577</v>
      </c>
      <c r="CR4" s="36">
        <f t="shared" si="13"/>
        <v>-8.4678601006561757E-2</v>
      </c>
      <c r="CS4" s="36">
        <f t="shared" si="14"/>
        <v>-0.1670984054810791</v>
      </c>
      <c r="CT4" s="37">
        <f t="shared" si="15"/>
        <v>-0.13628518934569869</v>
      </c>
      <c r="CU4" s="37">
        <f t="shared" ref="CU4:CU14" si="40">IF(BP4&gt;0,AI4/BP4,)</f>
        <v>-4.3919514920264358E-2</v>
      </c>
      <c r="CV4" s="77">
        <f t="shared" ref="CV4:CV14" si="41">IF(BQ4&gt;0,AJ4/BQ4,)</f>
        <v>9.8552170542119691E-2</v>
      </c>
      <c r="CW4" s="77">
        <f t="shared" ref="CW4:CW14" si="42">IF(BR4&gt;0,AK4/BR4," ")</f>
        <v>7.0722142023343596E-3</v>
      </c>
      <c r="CX4" s="77">
        <f t="shared" ref="CX4:CX14" si="43">IF(BS4&gt;0,AL4/BS4," ")</f>
        <v>-0.23328331586783785</v>
      </c>
      <c r="CY4" s="77">
        <f t="shared" ref="CY4:CY14" si="44">IF(BT4&gt;0,AM4/BT4," ")</f>
        <v>-7.7844623841347854E-2</v>
      </c>
      <c r="CZ4" s="77">
        <f t="shared" ref="CZ4:CZ14" si="45">IF(BU4&gt;0,AN4/BU4," ")</f>
        <v>0.11762202479816863</v>
      </c>
      <c r="DA4" s="77">
        <f t="shared" ref="DA4:DA14" si="46">IF(BV4&gt;0,AO4/BV4," ")</f>
        <v>0.2226008837164731</v>
      </c>
      <c r="DB4" s="77">
        <f t="shared" ref="DB4:DB14" si="47">IF(BW4&gt;0,AP4/BW4," ")</f>
        <v>3.006921275959443E-2</v>
      </c>
      <c r="DC4" s="77">
        <f t="shared" ref="DC4:DC14" si="48">IF(BX4&gt;0,AQ4/BX4," ")</f>
        <v>2.975737117101869E-2</v>
      </c>
      <c r="DD4" s="77">
        <f t="shared" ref="DD4:DD14" si="49">IF(BY4&gt;0,AR4/BY4," ")</f>
        <v>-0.24211307234079968</v>
      </c>
      <c r="DE4" s="77">
        <f t="shared" ref="DE4:DE14" si="50">IF(BZ4&gt;0,AS4/BZ4," ")</f>
        <v>-0.32897631138884542</v>
      </c>
      <c r="DF4" s="77">
        <f t="shared" ref="DF4:DF14" si="51">IF(CA4&gt;0,AT4/CA4," ")</f>
        <v>5.864559376950438E-2</v>
      </c>
      <c r="DG4" s="77">
        <f t="shared" si="17"/>
        <v>-0.26036182728883317</v>
      </c>
      <c r="DH4" s="77">
        <f t="shared" si="18"/>
        <v>9.5909279223213212E-2</v>
      </c>
      <c r="DI4" s="77">
        <f t="shared" si="19"/>
        <v>5.5568511907785667E-2</v>
      </c>
      <c r="DJ4" s="77">
        <f t="shared" si="20"/>
        <v>-0.20143919982806424</v>
      </c>
      <c r="DK4" s="77" t="str">
        <f t="shared" si="21"/>
        <v/>
      </c>
      <c r="DL4" s="22" t="s">
        <v>496</v>
      </c>
      <c r="DM4" s="26">
        <f t="shared" ref="DM4:DM14" si="52">DM3+AB4</f>
        <v>130098</v>
      </c>
      <c r="DN4" s="26">
        <f t="shared" ref="DN4:DN14" si="53">DN3+AC4</f>
        <v>-71818</v>
      </c>
      <c r="DO4" s="26">
        <f t="shared" ref="DO4:DO14" si="54">DO3+AD4</f>
        <v>-35620</v>
      </c>
      <c r="DP4" s="26">
        <f t="shared" ref="DP4:DP14" si="55">DP3+AE4</f>
        <v>-382421</v>
      </c>
      <c r="DQ4" s="26">
        <f t="shared" ref="DQ4:DQ14" si="56">DQ3+AF4</f>
        <v>-33375</v>
      </c>
      <c r="DR4" s="26">
        <f t="shared" ref="DR4:DR14" si="57">DR3+AG4</f>
        <v>-145237</v>
      </c>
      <c r="DS4" s="26">
        <f t="shared" ref="DS4:DS14" si="58">DS3+AH4</f>
        <v>-433079.32999999996</v>
      </c>
      <c r="DT4" s="26">
        <f t="shared" ref="DT4:DT14" si="59">DT3+AI4</f>
        <v>-346887.44400000002</v>
      </c>
      <c r="DU4" s="26">
        <f t="shared" ref="DU4:DU14" si="60">DU3+AJ4</f>
        <v>-27462.410000000003</v>
      </c>
      <c r="DV4" s="26">
        <f t="shared" ref="DV4:DV14" si="61">IF(AK4&lt;&gt;" ",DV3+AK4," ")</f>
        <v>84309.487999999998</v>
      </c>
      <c r="DW4" s="26">
        <f t="shared" ref="DW4:DW14" si="62">IF(AL4&lt;&gt;" ",DW3+AL4," ")</f>
        <v>-118589</v>
      </c>
      <c r="DX4" s="26">
        <f t="shared" ref="DX4:DX14" si="63">IF(BT4&gt;0,DX3+AM4,"")</f>
        <v>153319</v>
      </c>
      <c r="DY4" s="26">
        <f t="shared" ref="DY4:DY14" si="64">IF(BU4&gt;0,DY3+AN4,"")</f>
        <v>198120</v>
      </c>
      <c r="DZ4" s="26">
        <f t="shared" ref="DZ4:DZ14" si="65">IF(BV4&gt;0,DZ3+AO4,"")</f>
        <v>340503</v>
      </c>
      <c r="EA4" s="26">
        <f t="shared" ref="EA4:EA14" si="66">IF(BW4&gt;0,EA3+AP4,"")</f>
        <v>-37634</v>
      </c>
      <c r="EB4" s="26">
        <f t="shared" ref="EB4:EB14" si="67">IF(BX4&gt;0,EB3+AQ4,"")</f>
        <v>-148738</v>
      </c>
      <c r="EC4" s="26">
        <f>IF(CJ4&gt;0,EC3+AR4,"")</f>
        <v>-273259</v>
      </c>
      <c r="ED4" s="26">
        <f>IF(CK4&gt;0,ED3+AS4,"")</f>
        <v>-557196</v>
      </c>
      <c r="EE4" s="26">
        <f t="shared" ref="EE4:EE14" si="68">IF(CA4&gt;0,EE3+AT4,"")</f>
        <v>9814</v>
      </c>
      <c r="EF4" s="26">
        <f t="shared" ref="EF4:EF14" si="69">IF(CB4&gt;0,EF3+AU4,"")</f>
        <v>-496760</v>
      </c>
      <c r="EG4" s="26">
        <f t="shared" ref="EG4:EG14" si="70">IF(CC4&gt;0,EG3+AV4,"")</f>
        <v>243084</v>
      </c>
      <c r="EH4" s="26">
        <f t="shared" ref="EH4:EH14" si="71">IF(CD4&gt;0,EH3+AW4,"")</f>
        <v>-60295</v>
      </c>
      <c r="EI4" s="26">
        <f t="shared" ref="EI4:EI14" si="72">IF(CE4&gt;0,EI3+AX4,"")</f>
        <v>-641197</v>
      </c>
      <c r="EJ4" s="26" t="str">
        <f t="shared" ref="EJ4:EJ14" si="73">IF(CI4&gt;0,EJ3+BB4,"")</f>
        <v/>
      </c>
      <c r="EK4" s="360">
        <f t="shared" ref="EK4:EK14" si="74">AVERAGE(DX4:DZ4)</f>
        <v>230647.33333333334</v>
      </c>
      <c r="EL4" s="359">
        <f t="shared" si="23"/>
        <v>-17631.836600000002</v>
      </c>
      <c r="EM4" s="93">
        <f t="shared" ref="EM4:EM14" si="75">AVERAGE(DO4:DW4)</f>
        <v>-159817.96622222223</v>
      </c>
      <c r="EN4" s="404" t="s">
        <v>496</v>
      </c>
      <c r="EO4" s="33">
        <f t="shared" ref="EO4:EW6" si="76">EO3+BI4</f>
        <v>750125</v>
      </c>
      <c r="EP4" s="33">
        <f t="shared" si="76"/>
        <v>834872.72</v>
      </c>
      <c r="EQ4" s="33">
        <f t="shared" si="76"/>
        <v>1245451</v>
      </c>
      <c r="ER4" s="33">
        <f t="shared" si="76"/>
        <v>1575786</v>
      </c>
      <c r="ES4" s="33">
        <f t="shared" si="76"/>
        <v>1958049</v>
      </c>
      <c r="ET4" s="33">
        <f t="shared" si="76"/>
        <v>2382906</v>
      </c>
      <c r="EU4" s="34">
        <f t="shared" si="76"/>
        <v>1987858.26</v>
      </c>
      <c r="EV4" s="34">
        <f t="shared" si="76"/>
        <v>2437815.6579999998</v>
      </c>
      <c r="EW4" s="34">
        <f t="shared" si="76"/>
        <v>2412863.8864000002</v>
      </c>
      <c r="EX4" s="34">
        <f>IF(BR4&gt;0,EX3+BR4,ET17)</f>
        <v>2118382.0180000002</v>
      </c>
      <c r="EY4" s="34">
        <f>IF(BS4&gt;0,EY3+BS4,EU17)</f>
        <v>1811111</v>
      </c>
      <c r="EZ4" s="34">
        <f t="shared" ref="EZ4:EZ14" si="77">IF(BT4&gt;0,EZ3+BT4,"")</f>
        <v>1723226</v>
      </c>
      <c r="FA4" s="34">
        <f t="shared" ref="FA4:FA14" si="78">IF(BU4&gt;0,FA3+BU4,"")</f>
        <v>1853493</v>
      </c>
      <c r="FB4" s="34">
        <f t="shared" ref="FB4:FB14" si="79">IF(BV4&gt;0,FB3+BV4,"")</f>
        <v>2184951</v>
      </c>
      <c r="FC4" s="34">
        <f t="shared" ref="FC4:FC14" si="80">IF(BW4&gt;0,FC3+BW4,"")</f>
        <v>1957886</v>
      </c>
      <c r="FD4" s="34">
        <f t="shared" ref="FD4:FD14" si="81">IF(BX4&gt;0,FD3+BX4,"")</f>
        <v>1659630</v>
      </c>
      <c r="FE4" s="34">
        <f t="shared" ref="FE4:FE14" si="82">IF(BY4&gt;0,FE3+BY4,"")</f>
        <v>1948792</v>
      </c>
      <c r="FF4" s="34">
        <f t="shared" ref="FF4:FF14" si="83">IF(BZ4&gt;0,FF3+BZ4,"")</f>
        <v>1505884</v>
      </c>
      <c r="FG4" s="34">
        <f t="shared" ref="FG4:FG14" si="84">IF(CA4&gt;0,FG3+CA4,"")</f>
        <v>2350690</v>
      </c>
      <c r="FH4" s="34">
        <f t="shared" ref="FH4:FK6" si="85">FH3+CB4</f>
        <v>2045264</v>
      </c>
      <c r="FI4" s="34">
        <f t="shared" si="85"/>
        <v>3117511</v>
      </c>
      <c r="FJ4" s="34">
        <f t="shared" si="85"/>
        <v>3093234</v>
      </c>
      <c r="FK4" s="34">
        <f t="shared" si="85"/>
        <v>2380656</v>
      </c>
      <c r="FL4" s="34" t="str">
        <f t="shared" ref="FL4:FL14" si="86">IF(CI4&gt;0,FL3+CI4," ")</f>
        <v xml:space="preserve"> </v>
      </c>
      <c r="FM4" s="35" t="s">
        <v>496</v>
      </c>
      <c r="FN4" s="36">
        <f t="shared" ref="FN4:FN14" si="87">DM4/EO4</f>
        <v>0.17343509415097483</v>
      </c>
      <c r="FO4" s="36">
        <f t="shared" ref="FO4:FO14" si="88">DN4/EP4</f>
        <v>-8.6022693375344697E-2</v>
      </c>
      <c r="FP4" s="36">
        <f t="shared" ref="FP4:FP14" si="89">DO4/EQ4</f>
        <v>-2.8600081416290161E-2</v>
      </c>
      <c r="FQ4" s="36">
        <f t="shared" ref="FQ4:FQ14" si="90">DP4/ER4</f>
        <v>-0.24268587232022623</v>
      </c>
      <c r="FR4" s="36">
        <f t="shared" ref="FR4:FR14" si="91">DQ4/ES4</f>
        <v>-1.7045027984488641E-2</v>
      </c>
      <c r="FS4" s="36">
        <f t="shared" ref="FS4:FS14" si="92">DR4/ET4</f>
        <v>-6.0949529691897202E-2</v>
      </c>
      <c r="FT4" s="36">
        <f t="shared" ref="FT4:FT14" si="93">DS4/EU4</f>
        <v>-0.21786227857110896</v>
      </c>
      <c r="FU4" s="36">
        <f t="shared" ref="FU4:FU14" si="94">DT4/EV4</f>
        <v>-0.14229437031534567</v>
      </c>
      <c r="FV4" s="36">
        <f t="shared" ref="FV4:FV14" si="95">DU4/EW4</f>
        <v>-1.1381665644212528E-2</v>
      </c>
      <c r="FW4" s="36">
        <f t="shared" ref="FW4:FW14" si="96">IF(EX4&lt;&gt;" ",DV4/EX4," ")</f>
        <v>3.97990009750923E-2</v>
      </c>
      <c r="FX4" s="36">
        <f t="shared" ref="FX4:FX14" si="97">IF(EY4&lt;&gt;" ",DW4/EY4," ")</f>
        <v>-6.5478592974146807E-2</v>
      </c>
      <c r="FY4" s="36">
        <f t="shared" ref="FY4:FY14" si="98">IF(EZ4&lt;&gt;" ",DX4/EZ4," ")</f>
        <v>8.8972079112083963E-2</v>
      </c>
      <c r="FZ4" s="36">
        <f t="shared" ref="FZ4:FZ14" si="99">IF(FA4&lt;&gt;" ",DY4/FA4," ")</f>
        <v>0.10689007188049807</v>
      </c>
      <c r="GA4" s="36">
        <f t="shared" ref="GA4:GA14" si="100">IF(FB4&lt;&gt;" ",DZ4/FB4," ")</f>
        <v>0.15584010808480372</v>
      </c>
      <c r="GB4" s="36">
        <f t="shared" ref="GB4:GB14" si="101">IF(FC4&lt;&gt;" ",EA4/FC4," ")</f>
        <v>-1.9221752441153366E-2</v>
      </c>
      <c r="GC4" s="36">
        <f t="shared" ref="GC4:GC14" si="102">IF(FD4&lt;&gt;" ",EB4/FD4," ")</f>
        <v>-8.9621180624597049E-2</v>
      </c>
      <c r="GD4" s="36">
        <f t="shared" ref="GD4:GD14" si="103">IF(FE4&lt;&gt;" ",EC4/FE4," ")</f>
        <v>-0.14021968480987196</v>
      </c>
      <c r="GE4" s="36">
        <f t="shared" ref="GE4:GE14" si="104">IF(FF4&lt;&gt;" ",ED4/FF4," ")</f>
        <v>-0.3700125640487581</v>
      </c>
      <c r="GF4" s="36">
        <f t="shared" ref="GF4:GF14" si="105">IF(FG4&lt;&gt;" ",EE4/FG4," ")</f>
        <v>4.1749443780336841E-3</v>
      </c>
      <c r="GG4" s="36">
        <f t="shared" ref="GG4:GG14" si="106">IF(FH4&lt;&gt;" ",EF4/FH4," ")</f>
        <v>-0.2428830703517981</v>
      </c>
      <c r="GH4" s="36">
        <f t="shared" ref="GH4:GH14" si="107">IF(FI4&lt;&gt;" ",EG4/FI4," ")</f>
        <v>7.7973742514461056E-2</v>
      </c>
      <c r="GI4" s="36">
        <f t="shared" ref="GI4:GI14" si="108">IF(FJ4&lt;&gt;" ",EH4/FJ4," ")</f>
        <v>-1.9492544049367101E-2</v>
      </c>
      <c r="GJ4" s="36">
        <f t="shared" ref="GJ4:GK14" si="109">IF(FK4&lt;&gt;" ",EI4/FK4," ")</f>
        <v>-0.26933626697851348</v>
      </c>
      <c r="GK4" s="36" t="str">
        <f t="shared" si="109"/>
        <v xml:space="preserve"> </v>
      </c>
      <c r="GL4" s="24">
        <f>A11</f>
        <v>30925</v>
      </c>
      <c r="GM4" s="97">
        <f>SUM(B9:B11)</f>
        <v>1918309</v>
      </c>
      <c r="GN4" s="97">
        <f>SUM(C9:C11)</f>
        <v>590776</v>
      </c>
      <c r="GO4" s="5">
        <f t="shared" si="27"/>
        <v>555193</v>
      </c>
      <c r="GP4" s="25" t="e">
        <f t="shared" si="28"/>
        <v>#DIV/0!</v>
      </c>
      <c r="GQ4" s="25" t="e">
        <f t="shared" si="29"/>
        <v>#DIV/0!</v>
      </c>
      <c r="GS4"/>
      <c r="GT4" s="179"/>
      <c r="GU4" s="179"/>
      <c r="GV4"/>
      <c r="GW4"/>
      <c r="GX4" s="6"/>
      <c r="GY4" s="48"/>
      <c r="GZ4" s="48"/>
      <c r="HA4" s="48"/>
      <c r="HB4" s="48"/>
      <c r="HC4" s="368">
        <v>2</v>
      </c>
      <c r="HD4" s="369" t="s">
        <v>216</v>
      </c>
      <c r="HE4" s="370">
        <v>0.1</v>
      </c>
      <c r="HF4" s="371">
        <v>0.02</v>
      </c>
      <c r="HG4" s="370">
        <v>0.02</v>
      </c>
      <c r="HH4" s="402">
        <v>0.01</v>
      </c>
      <c r="HI4" s="372">
        <f>HA57</f>
        <v>0.1625399666437157</v>
      </c>
      <c r="HJ4" s="373">
        <v>0.02</v>
      </c>
      <c r="HK4" s="185"/>
    </row>
    <row r="5" spans="1:219" ht="16">
      <c r="A5" s="24">
        <v>30741</v>
      </c>
      <c r="B5" s="25">
        <f t="shared" si="0"/>
        <v>338381</v>
      </c>
      <c r="C5" s="25">
        <f t="shared" si="1"/>
        <v>5893</v>
      </c>
      <c r="D5" s="25">
        <f t="shared" ref="D5:D36" si="110">C5+C4+C3</f>
        <v>135991</v>
      </c>
      <c r="E5" s="25"/>
      <c r="F5" s="25"/>
      <c r="G5" s="25"/>
      <c r="H5" s="25"/>
      <c r="I5" s="25"/>
      <c r="J5" s="25"/>
      <c r="K5" s="25"/>
      <c r="L5" s="25">
        <f t="shared" si="30"/>
        <v>110205</v>
      </c>
      <c r="M5" s="25"/>
      <c r="N5" s="25"/>
      <c r="O5" s="25"/>
      <c r="P5" s="25">
        <f t="shared" si="31"/>
        <v>347835.3593688212</v>
      </c>
      <c r="Q5" s="25">
        <f t="shared" si="32"/>
        <v>-222153.80880728277</v>
      </c>
      <c r="R5" s="25">
        <f t="shared" si="2"/>
        <v>338381</v>
      </c>
      <c r="S5" s="25">
        <f t="shared" si="33"/>
        <v>65467</v>
      </c>
      <c r="T5" s="25">
        <f t="shared" si="34"/>
        <v>1418522.2143234741</v>
      </c>
      <c r="U5" s="25">
        <f t="shared" si="35"/>
        <v>776443.85114146117</v>
      </c>
      <c r="V5" s="25"/>
      <c r="W5" s="25"/>
      <c r="Y5" s="25"/>
      <c r="Z5" s="25"/>
      <c r="AA5" s="22" t="s">
        <v>497</v>
      </c>
      <c r="AB5" s="273">
        <v>5893</v>
      </c>
      <c r="AC5" s="26">
        <v>-54312</v>
      </c>
      <c r="AD5" s="26">
        <v>251478</v>
      </c>
      <c r="AE5" s="26">
        <v>-60644</v>
      </c>
      <c r="AF5" s="269">
        <v>66604</v>
      </c>
      <c r="AG5" s="26">
        <v>52176</v>
      </c>
      <c r="AH5" s="26">
        <f t="shared" si="3"/>
        <v>102522</v>
      </c>
      <c r="AI5" s="26">
        <f t="shared" si="3"/>
        <v>-28083.465</v>
      </c>
      <c r="AJ5" s="277">
        <f>AJ64+AJ48</f>
        <v>-238738.992</v>
      </c>
      <c r="AK5" s="26">
        <f t="shared" ref="AK5:AK14" si="111">IF(AK64+AK48&lt;&gt;0,AK64+AK48," ")</f>
        <v>-36.340000000000146</v>
      </c>
      <c r="AL5" s="26">
        <v>-147362</v>
      </c>
      <c r="AM5" s="26">
        <v>253193</v>
      </c>
      <c r="AN5" s="26">
        <v>277182</v>
      </c>
      <c r="AO5" s="26">
        <v>254206</v>
      </c>
      <c r="AP5" s="26">
        <v>523236</v>
      </c>
      <c r="AQ5" s="26">
        <v>-8061</v>
      </c>
      <c r="AR5" s="26">
        <v>324211</v>
      </c>
      <c r="AS5" s="26">
        <v>434026</v>
      </c>
      <c r="AT5" s="26">
        <v>-1121</v>
      </c>
      <c r="AU5" s="26">
        <v>26287</v>
      </c>
      <c r="AV5" s="26">
        <v>154277</v>
      </c>
      <c r="AW5" s="26">
        <v>365145</v>
      </c>
      <c r="AX5" s="26">
        <v>-299192</v>
      </c>
      <c r="AY5" s="26">
        <v>141549</v>
      </c>
      <c r="AZ5" s="26">
        <v>-347547</v>
      </c>
      <c r="BA5" s="26">
        <v>-58604</v>
      </c>
      <c r="BB5" s="26"/>
      <c r="BC5" s="311">
        <f t="shared" si="36"/>
        <v>0</v>
      </c>
      <c r="BD5" s="26">
        <f t="shared" si="4"/>
        <v>261527</v>
      </c>
      <c r="BE5" s="93">
        <f t="shared" si="5"/>
        <v>27681.220299999997</v>
      </c>
      <c r="BF5" s="27"/>
      <c r="BG5" s="28"/>
      <c r="BH5" s="23" t="s">
        <v>497</v>
      </c>
      <c r="BI5" s="26">
        <f>489425-151044</f>
        <v>338381</v>
      </c>
      <c r="BJ5" s="26">
        <f>329733-70300+130454+52+350</f>
        <v>390289</v>
      </c>
      <c r="BK5" s="26">
        <v>978280</v>
      </c>
      <c r="BL5" s="26">
        <v>1076054</v>
      </c>
      <c r="BM5" s="26">
        <v>1376812</v>
      </c>
      <c r="BN5" s="26">
        <f>1380398-16235+BK58*0.8</f>
        <v>1405563</v>
      </c>
      <c r="BO5" s="29">
        <v>1543435.8</v>
      </c>
      <c r="BP5" s="29">
        <f>BM42+BM58*0.8</f>
        <v>1626314.8704000001</v>
      </c>
      <c r="BQ5" s="29">
        <f>BN42+BN57*0.8</f>
        <v>1038091.0688</v>
      </c>
      <c r="BR5" s="29">
        <f>BO42+BO58</f>
        <v>1032280.47</v>
      </c>
      <c r="BS5" s="29">
        <v>1115770</v>
      </c>
      <c r="BT5" s="26">
        <v>1218188</v>
      </c>
      <c r="BU5" s="26">
        <v>1173800</v>
      </c>
      <c r="BV5" s="26">
        <v>1274699</v>
      </c>
      <c r="BW5" s="26">
        <v>1706161</v>
      </c>
      <c r="BX5" s="26">
        <v>1010758</v>
      </c>
      <c r="BY5" s="26">
        <v>1603240</v>
      </c>
      <c r="BZ5" s="26">
        <v>1580258</v>
      </c>
      <c r="CA5" s="26">
        <v>1491226</v>
      </c>
      <c r="CB5" s="26">
        <v>1438826</v>
      </c>
      <c r="CC5" s="26">
        <v>1683301</v>
      </c>
      <c r="CD5" s="26">
        <v>1941347</v>
      </c>
      <c r="CE5" s="777">
        <v>1449024</v>
      </c>
      <c r="CF5" s="777">
        <v>2143503</v>
      </c>
      <c r="CG5" s="777">
        <v>1596853</v>
      </c>
      <c r="CH5" s="777">
        <v>1626392</v>
      </c>
      <c r="CI5" s="777"/>
      <c r="CJ5" s="650">
        <f t="shared" si="39"/>
        <v>0.25203263075443183</v>
      </c>
      <c r="CK5" s="89">
        <f t="shared" si="7"/>
        <v>1271178.44184</v>
      </c>
      <c r="CL5" s="90">
        <f t="shared" si="8"/>
        <v>1163734.3826545456</v>
      </c>
      <c r="CM5" s="35" t="s">
        <v>497</v>
      </c>
      <c r="CN5" s="36">
        <f t="shared" si="9"/>
        <v>1.7415280408769995E-2</v>
      </c>
      <c r="CO5" s="36">
        <f t="shared" si="10"/>
        <v>-0.13915841850526148</v>
      </c>
      <c r="CP5" s="36">
        <f t="shared" si="11"/>
        <v>0.25706137302203869</v>
      </c>
      <c r="CQ5" s="36">
        <f t="shared" si="12"/>
        <v>-5.6357766431796172E-2</v>
      </c>
      <c r="CR5" s="36">
        <f t="shared" si="13"/>
        <v>4.8375522584056502E-2</v>
      </c>
      <c r="CS5" s="36">
        <f t="shared" si="14"/>
        <v>3.7121068212524089E-2</v>
      </c>
      <c r="CT5" s="37">
        <f t="shared" si="15"/>
        <v>6.6424531554859612E-2</v>
      </c>
      <c r="CU5" s="37">
        <f t="shared" si="40"/>
        <v>-1.7268159758689738E-2</v>
      </c>
      <c r="CV5" s="77">
        <f t="shared" si="41"/>
        <v>-0.22997885173597979</v>
      </c>
      <c r="CW5" s="77">
        <f t="shared" si="42"/>
        <v>-3.5203610894624547E-5</v>
      </c>
      <c r="CX5" s="77">
        <f t="shared" si="43"/>
        <v>-0.13207202201170493</v>
      </c>
      <c r="CY5" s="77">
        <f t="shared" si="44"/>
        <v>0.20784394526953145</v>
      </c>
      <c r="CZ5" s="77">
        <f t="shared" si="45"/>
        <v>0.23614073947861647</v>
      </c>
      <c r="DA5" s="77">
        <f t="shared" si="46"/>
        <v>0.19942433468607099</v>
      </c>
      <c r="DB5" s="77">
        <f t="shared" si="47"/>
        <v>0.30667445803766469</v>
      </c>
      <c r="DC5" s="77">
        <f t="shared" si="48"/>
        <v>-7.9752027686152381E-3</v>
      </c>
      <c r="DD5" s="77">
        <f t="shared" si="49"/>
        <v>0.20222237469125021</v>
      </c>
      <c r="DE5" s="77">
        <f t="shared" si="50"/>
        <v>0.27465515124745454</v>
      </c>
      <c r="DF5" s="77">
        <f t="shared" si="51"/>
        <v>-7.5173045534345569E-4</v>
      </c>
      <c r="DG5" s="77">
        <f t="shared" si="17"/>
        <v>1.8269756037213671E-2</v>
      </c>
      <c r="DH5" s="77">
        <f t="shared" si="18"/>
        <v>9.1651463404346573E-2</v>
      </c>
      <c r="DI5" s="77">
        <f t="shared" si="19"/>
        <v>0.18808847671230336</v>
      </c>
      <c r="DJ5" s="77">
        <f t="shared" si="20"/>
        <v>-0.20647829159489423</v>
      </c>
      <c r="DK5" s="77" t="str">
        <f t="shared" si="21"/>
        <v/>
      </c>
      <c r="DL5" s="22" t="s">
        <v>497</v>
      </c>
      <c r="DM5" s="26">
        <f t="shared" si="52"/>
        <v>135991</v>
      </c>
      <c r="DN5" s="26">
        <f t="shared" si="53"/>
        <v>-126130</v>
      </c>
      <c r="DO5" s="26">
        <f t="shared" si="54"/>
        <v>215858</v>
      </c>
      <c r="DP5" s="26">
        <f t="shared" si="55"/>
        <v>-443065</v>
      </c>
      <c r="DQ5" s="26">
        <f t="shared" si="56"/>
        <v>33229</v>
      </c>
      <c r="DR5" s="26">
        <f t="shared" si="57"/>
        <v>-93061</v>
      </c>
      <c r="DS5" s="26">
        <f t="shared" si="58"/>
        <v>-330557.32999999996</v>
      </c>
      <c r="DT5" s="26">
        <f t="shared" si="59"/>
        <v>-374970.90900000004</v>
      </c>
      <c r="DU5" s="26">
        <f t="shared" si="60"/>
        <v>-266201.402</v>
      </c>
      <c r="DV5" s="26">
        <f t="shared" si="61"/>
        <v>84273.148000000001</v>
      </c>
      <c r="DW5" s="26">
        <f t="shared" si="62"/>
        <v>-265951</v>
      </c>
      <c r="DX5" s="26">
        <f t="shared" si="63"/>
        <v>406512</v>
      </c>
      <c r="DY5" s="26">
        <f t="shared" si="64"/>
        <v>475302</v>
      </c>
      <c r="DZ5" s="26">
        <f t="shared" si="65"/>
        <v>594709</v>
      </c>
      <c r="EA5" s="26">
        <f t="shared" si="66"/>
        <v>485602</v>
      </c>
      <c r="EB5" s="26">
        <f t="shared" si="67"/>
        <v>-156799</v>
      </c>
      <c r="EC5" s="26">
        <f>IF(CJ5&gt;0,EC4+AR5,"")</f>
        <v>50952</v>
      </c>
      <c r="ED5" s="26">
        <f>IF(CK5&gt;0,ED4+AS5,"")</f>
        <v>-123170</v>
      </c>
      <c r="EE5" s="26">
        <f t="shared" si="68"/>
        <v>8693</v>
      </c>
      <c r="EF5" s="26">
        <f t="shared" si="69"/>
        <v>-470473</v>
      </c>
      <c r="EG5" s="26">
        <f t="shared" si="70"/>
        <v>397361</v>
      </c>
      <c r="EH5" s="26">
        <f t="shared" si="71"/>
        <v>304850</v>
      </c>
      <c r="EI5" s="26">
        <f t="shared" si="72"/>
        <v>-940389</v>
      </c>
      <c r="EJ5" s="26" t="str">
        <f t="shared" si="73"/>
        <v/>
      </c>
      <c r="EK5" s="360">
        <f t="shared" si="74"/>
        <v>492174.33333333331</v>
      </c>
      <c r="EL5" s="359">
        <f t="shared" si="23"/>
        <v>103342.7837</v>
      </c>
      <c r="EM5" s="93">
        <f t="shared" si="75"/>
        <v>-160049.61033333334</v>
      </c>
      <c r="EN5" s="404" t="s">
        <v>497</v>
      </c>
      <c r="EO5" s="33">
        <f t="shared" si="76"/>
        <v>1088506</v>
      </c>
      <c r="EP5" s="33">
        <f t="shared" si="76"/>
        <v>1225161.72</v>
      </c>
      <c r="EQ5" s="33">
        <f t="shared" si="76"/>
        <v>2223731</v>
      </c>
      <c r="ER5" s="33">
        <f t="shared" si="76"/>
        <v>2651840</v>
      </c>
      <c r="ES5" s="33">
        <f t="shared" si="76"/>
        <v>3334861</v>
      </c>
      <c r="ET5" s="33">
        <f t="shared" si="76"/>
        <v>3788469</v>
      </c>
      <c r="EU5" s="34">
        <f t="shared" si="76"/>
        <v>3531294.06</v>
      </c>
      <c r="EV5" s="34">
        <f t="shared" si="76"/>
        <v>4064130.5284000002</v>
      </c>
      <c r="EW5" s="34">
        <f t="shared" si="76"/>
        <v>3450954.9552000002</v>
      </c>
      <c r="EX5" s="34">
        <f t="shared" ref="EX5:EY8" si="112">IF(BR5&gt;0,EX4+BR5,ES18)</f>
        <v>3150662.4879999999</v>
      </c>
      <c r="EY5" s="34">
        <f t="shared" si="112"/>
        <v>2926881</v>
      </c>
      <c r="EZ5" s="34">
        <f t="shared" si="77"/>
        <v>2941414</v>
      </c>
      <c r="FA5" s="34">
        <f t="shared" si="78"/>
        <v>3027293</v>
      </c>
      <c r="FB5" s="34">
        <f t="shared" si="79"/>
        <v>3459650</v>
      </c>
      <c r="FC5" s="34">
        <f t="shared" si="80"/>
        <v>3664047</v>
      </c>
      <c r="FD5" s="34">
        <f t="shared" si="81"/>
        <v>2670388</v>
      </c>
      <c r="FE5" s="34">
        <f t="shared" si="82"/>
        <v>3552032</v>
      </c>
      <c r="FF5" s="34">
        <f t="shared" si="83"/>
        <v>3086142</v>
      </c>
      <c r="FG5" s="34">
        <f t="shared" si="84"/>
        <v>3841916</v>
      </c>
      <c r="FH5" s="34">
        <f t="shared" si="85"/>
        <v>3484090</v>
      </c>
      <c r="FI5" s="34">
        <f t="shared" si="85"/>
        <v>4800812</v>
      </c>
      <c r="FJ5" s="34">
        <f t="shared" si="85"/>
        <v>5034581</v>
      </c>
      <c r="FK5" s="34">
        <f t="shared" si="85"/>
        <v>3829680</v>
      </c>
      <c r="FL5" s="34" t="str">
        <f t="shared" si="86"/>
        <v xml:space="preserve"> </v>
      </c>
      <c r="FM5" s="35" t="s">
        <v>497</v>
      </c>
      <c r="FN5" s="36">
        <f t="shared" si="87"/>
        <v>0.12493362461943251</v>
      </c>
      <c r="FO5" s="36">
        <f t="shared" si="88"/>
        <v>-0.10294967426830802</v>
      </c>
      <c r="FP5" s="36">
        <f t="shared" si="89"/>
        <v>9.707019419165358E-2</v>
      </c>
      <c r="FQ5" s="36">
        <f t="shared" si="90"/>
        <v>-0.16707833051767829</v>
      </c>
      <c r="FR5" s="36">
        <f t="shared" si="91"/>
        <v>9.9641334376455275E-3</v>
      </c>
      <c r="FS5" s="36">
        <f t="shared" si="92"/>
        <v>-2.4564276492694014E-2</v>
      </c>
      <c r="FT5" s="36">
        <f t="shared" si="93"/>
        <v>-9.3607987435631451E-2</v>
      </c>
      <c r="FU5" s="36">
        <f t="shared" si="94"/>
        <v>-9.2263500490379582E-2</v>
      </c>
      <c r="FV5" s="36">
        <f t="shared" si="95"/>
        <v>-7.7138474844152899E-2</v>
      </c>
      <c r="FW5" s="36">
        <f t="shared" si="96"/>
        <v>2.6747754899476877E-2</v>
      </c>
      <c r="FX5" s="36">
        <f t="shared" si="97"/>
        <v>-9.0864985628045694E-2</v>
      </c>
      <c r="FY5" s="36">
        <f t="shared" si="98"/>
        <v>0.13820291873228319</v>
      </c>
      <c r="FZ5" s="36">
        <f t="shared" si="99"/>
        <v>0.15700561524768167</v>
      </c>
      <c r="GA5" s="36">
        <f t="shared" si="100"/>
        <v>0.17189860245978639</v>
      </c>
      <c r="GB5" s="36">
        <f t="shared" si="101"/>
        <v>0.13253159689272545</v>
      </c>
      <c r="GC5" s="36">
        <f t="shared" si="102"/>
        <v>-5.8717684471320274E-2</v>
      </c>
      <c r="GD5" s="36">
        <f t="shared" si="103"/>
        <v>1.4344465365176891E-2</v>
      </c>
      <c r="GE5" s="36">
        <f t="shared" si="104"/>
        <v>-3.9910671641162333E-2</v>
      </c>
      <c r="GF5" s="36">
        <f t="shared" si="105"/>
        <v>2.2626731037326169E-3</v>
      </c>
      <c r="GG5" s="36">
        <f t="shared" si="106"/>
        <v>-0.13503468624518886</v>
      </c>
      <c r="GH5" s="36">
        <f t="shared" si="107"/>
        <v>8.2769539819513863E-2</v>
      </c>
      <c r="GI5" s="36">
        <f t="shared" si="108"/>
        <v>6.0551215682099466E-2</v>
      </c>
      <c r="GJ5" s="36">
        <f t="shared" si="109"/>
        <v>-0.24555289214764681</v>
      </c>
      <c r="GK5" s="36" t="str">
        <f t="shared" si="109"/>
        <v xml:space="preserve"> </v>
      </c>
      <c r="GL5" s="24">
        <f>A14</f>
        <v>31016</v>
      </c>
      <c r="GM5" s="97">
        <f>SUM(B12:B14)</f>
        <v>1653967</v>
      </c>
      <c r="GN5" s="97">
        <f>SUM(C12:C14)</f>
        <v>-124548</v>
      </c>
      <c r="GO5" s="5">
        <f t="shared" si="27"/>
        <v>715324</v>
      </c>
      <c r="GP5" s="25" t="e">
        <f t="shared" si="28"/>
        <v>#DIV/0!</v>
      </c>
      <c r="GQ5" s="25" t="e">
        <f t="shared" si="29"/>
        <v>#DIV/0!</v>
      </c>
      <c r="GR5" s="48">
        <f t="shared" ref="GR5:GR14" si="113">AVERAGE(GN2:GN5)</f>
        <v>159450.5</v>
      </c>
      <c r="GS5"/>
      <c r="GT5" s="179"/>
      <c r="GU5" s="179"/>
      <c r="GV5"/>
      <c r="GW5"/>
      <c r="GX5" s="6"/>
      <c r="GY5" s="48"/>
      <c r="GZ5" s="48"/>
      <c r="HA5" s="48"/>
      <c r="HB5" s="48"/>
      <c r="HC5" s="368">
        <v>3</v>
      </c>
      <c r="HD5" s="369" t="s">
        <v>216</v>
      </c>
      <c r="HE5" s="370">
        <v>0.15</v>
      </c>
      <c r="HF5" s="371">
        <v>0.02</v>
      </c>
      <c r="HG5" s="370">
        <v>0</v>
      </c>
      <c r="HH5" s="402">
        <v>0.01</v>
      </c>
      <c r="HI5" s="372">
        <f>HA57</f>
        <v>0.1625399666437157</v>
      </c>
      <c r="HJ5" s="373">
        <f>IF(HI5&gt;HE5,HF5,IF(HI5&lt;HG5,-HH5,))</f>
        <v>0.02</v>
      </c>
      <c r="HK5" s="185"/>
    </row>
    <row r="6" spans="1:219" ht="16">
      <c r="A6" s="24">
        <v>30772</v>
      </c>
      <c r="B6" s="25">
        <f t="shared" si="0"/>
        <v>355119</v>
      </c>
      <c r="C6" s="25">
        <f t="shared" si="1"/>
        <v>-114042</v>
      </c>
      <c r="D6" s="25">
        <f t="shared" si="110"/>
        <v>7949</v>
      </c>
      <c r="E6" s="25"/>
      <c r="F6" s="25"/>
      <c r="G6" s="25"/>
      <c r="H6" s="25"/>
      <c r="I6" s="25"/>
      <c r="J6" s="25"/>
      <c r="K6" s="25"/>
      <c r="L6" s="25">
        <f t="shared" si="30"/>
        <v>119935</v>
      </c>
      <c r="M6" s="25"/>
      <c r="N6" s="25"/>
      <c r="O6" s="25"/>
      <c r="P6" s="25">
        <f t="shared" si="31"/>
        <v>347835.3593688212</v>
      </c>
      <c r="Q6" s="25">
        <f t="shared" si="32"/>
        <v>-222153.80880728277</v>
      </c>
      <c r="R6" s="25">
        <f t="shared" si="2"/>
        <v>355119</v>
      </c>
      <c r="S6" s="25">
        <f t="shared" si="33"/>
        <v>16738</v>
      </c>
      <c r="T6" s="25">
        <f t="shared" si="34"/>
        <v>1418522.2143234741</v>
      </c>
      <c r="U6" s="25">
        <f t="shared" si="35"/>
        <v>776443.85114146117</v>
      </c>
      <c r="V6" s="25"/>
      <c r="W6" s="25"/>
      <c r="Y6" s="25"/>
      <c r="Z6" s="25"/>
      <c r="AA6" s="22" t="s">
        <v>820</v>
      </c>
      <c r="AB6" s="273">
        <v>-114042</v>
      </c>
      <c r="AC6" s="26">
        <v>-108257</v>
      </c>
      <c r="AD6" s="26">
        <v>37800</v>
      </c>
      <c r="AE6" s="26">
        <v>73341</v>
      </c>
      <c r="AF6" s="269">
        <v>26755</v>
      </c>
      <c r="AG6" s="26">
        <v>82001</v>
      </c>
      <c r="AH6" s="26">
        <f t="shared" si="3"/>
        <v>-35453</v>
      </c>
      <c r="AI6" s="26">
        <f t="shared" si="3"/>
        <v>-230622.7635</v>
      </c>
      <c r="AJ6" s="277">
        <f>AJ65+AJ49</f>
        <v>-14044.96000000001</v>
      </c>
      <c r="AK6" s="26">
        <f t="shared" si="111"/>
        <v>-218381.533</v>
      </c>
      <c r="AL6" s="26">
        <v>-35232</v>
      </c>
      <c r="AM6" s="26">
        <v>51239</v>
      </c>
      <c r="AN6" s="26">
        <v>-26536</v>
      </c>
      <c r="AO6" s="26">
        <v>420335</v>
      </c>
      <c r="AP6" s="26">
        <v>16764</v>
      </c>
      <c r="AQ6" s="26">
        <v>215945</v>
      </c>
      <c r="AR6" s="26">
        <v>-123434</v>
      </c>
      <c r="AS6" s="26">
        <v>164609</v>
      </c>
      <c r="AT6" s="26">
        <v>9885</v>
      </c>
      <c r="AU6" s="26">
        <v>174418</v>
      </c>
      <c r="AV6" s="26">
        <v>576385</v>
      </c>
      <c r="AW6" s="26">
        <v>73987</v>
      </c>
      <c r="AX6" s="26">
        <v>598107</v>
      </c>
      <c r="AY6" s="26">
        <v>266189</v>
      </c>
      <c r="AZ6" s="26">
        <v>-268713</v>
      </c>
      <c r="BA6" s="26">
        <v>186018</v>
      </c>
      <c r="BB6" s="26"/>
      <c r="BC6" s="311">
        <f t="shared" si="36"/>
        <v>0</v>
      </c>
      <c r="BD6" s="26">
        <f t="shared" si="4"/>
        <v>148346</v>
      </c>
      <c r="BE6" s="93">
        <f t="shared" si="5"/>
        <v>-32693.425650000001</v>
      </c>
      <c r="BF6" s="27"/>
      <c r="BG6" s="28"/>
      <c r="BH6" s="23" t="s">
        <v>820</v>
      </c>
      <c r="BI6" s="26">
        <f>355119</f>
        <v>355119</v>
      </c>
      <c r="BJ6" s="26">
        <f>342390-20918+624</f>
        <v>322096</v>
      </c>
      <c r="BK6" s="26">
        <v>878015</v>
      </c>
      <c r="BL6" s="26">
        <v>1014512</v>
      </c>
      <c r="BM6" s="26">
        <v>1265885</v>
      </c>
      <c r="BN6" s="26">
        <f>1322945-2413+BK59*0.8</f>
        <v>1347052</v>
      </c>
      <c r="BO6" s="29">
        <v>1444828.1599999999</v>
      </c>
      <c r="BP6" s="29">
        <f t="shared" si="6"/>
        <v>1282164.2748</v>
      </c>
      <c r="BQ6" s="29">
        <f t="shared" si="37"/>
        <v>1198156.024</v>
      </c>
      <c r="BR6" s="29">
        <f t="shared" si="38"/>
        <v>857541.84299999999</v>
      </c>
      <c r="BS6" s="29">
        <v>945492</v>
      </c>
      <c r="BT6" s="26">
        <v>942406</v>
      </c>
      <c r="BU6" s="26">
        <v>879252</v>
      </c>
      <c r="BV6" s="26">
        <v>1587671</v>
      </c>
      <c r="BW6" s="26">
        <v>1233898</v>
      </c>
      <c r="BX6" s="26">
        <v>1279763</v>
      </c>
      <c r="BY6" s="26">
        <v>1118864</v>
      </c>
      <c r="BZ6" s="26">
        <v>1393723</v>
      </c>
      <c r="CA6" s="26">
        <v>1312977</v>
      </c>
      <c r="CB6" s="26">
        <v>1677345</v>
      </c>
      <c r="CC6" s="26">
        <v>2153669</v>
      </c>
      <c r="CD6" s="26">
        <v>1695114</v>
      </c>
      <c r="CE6" s="777">
        <v>2439492</v>
      </c>
      <c r="CF6" s="777">
        <v>2096592</v>
      </c>
      <c r="CG6" s="777">
        <v>1560948</v>
      </c>
      <c r="CH6" s="777">
        <v>1836395</v>
      </c>
      <c r="CI6" s="777"/>
      <c r="CJ6" s="650">
        <f t="shared" si="39"/>
        <v>0.20450258653129438</v>
      </c>
      <c r="CK6" s="89">
        <f t="shared" si="7"/>
        <v>1145636.4603600001</v>
      </c>
      <c r="CL6" s="90">
        <f t="shared" si="8"/>
        <v>1045286.2092545454</v>
      </c>
      <c r="CM6" s="35" t="s">
        <v>820</v>
      </c>
      <c r="CN6" s="36">
        <f t="shared" si="9"/>
        <v>-0.32113742154038505</v>
      </c>
      <c r="CO6" s="36">
        <f t="shared" si="10"/>
        <v>-0.33610165913268092</v>
      </c>
      <c r="CP6" s="36">
        <f t="shared" si="11"/>
        <v>4.3051656292887937E-2</v>
      </c>
      <c r="CQ6" s="36">
        <f t="shared" si="12"/>
        <v>7.2291899947955277E-2</v>
      </c>
      <c r="CR6" s="36">
        <f t="shared" si="13"/>
        <v>2.1135411194539787E-2</v>
      </c>
      <c r="CS6" s="36">
        <f t="shared" si="14"/>
        <v>6.087441316296624E-2</v>
      </c>
      <c r="CT6" s="37">
        <f t="shared" si="15"/>
        <v>-2.4537866150117119E-2</v>
      </c>
      <c r="CU6" s="37">
        <f t="shared" si="40"/>
        <v>-0.17986990281411014</v>
      </c>
      <c r="CV6" s="77">
        <f t="shared" si="41"/>
        <v>-1.1722146130110356E-2</v>
      </c>
      <c r="CW6" s="77">
        <f t="shared" si="42"/>
        <v>-0.25465991517803988</v>
      </c>
      <c r="CX6" s="77">
        <f t="shared" si="43"/>
        <v>-3.7263139191024357E-2</v>
      </c>
      <c r="CY6" s="77">
        <f t="shared" si="44"/>
        <v>5.4370409356476933E-2</v>
      </c>
      <c r="CZ6" s="77">
        <f t="shared" si="45"/>
        <v>-3.0180198623375322E-2</v>
      </c>
      <c r="DA6" s="77">
        <f t="shared" si="46"/>
        <v>0.26474943486402408</v>
      </c>
      <c r="DB6" s="77">
        <f t="shared" si="47"/>
        <v>1.3586212150437069E-2</v>
      </c>
      <c r="DC6" s="77">
        <f t="shared" si="48"/>
        <v>0.16873827419608162</v>
      </c>
      <c r="DD6" s="77">
        <f t="shared" si="49"/>
        <v>-0.11032082540862875</v>
      </c>
      <c r="DE6" s="77">
        <f t="shared" si="50"/>
        <v>0.1181074001074819</v>
      </c>
      <c r="DF6" s="77">
        <f t="shared" si="51"/>
        <v>7.5286924294941954E-3</v>
      </c>
      <c r="DG6" s="77">
        <f t="shared" si="17"/>
        <v>0.103984570854535</v>
      </c>
      <c r="DH6" s="77">
        <f t="shared" si="18"/>
        <v>0.26762933394128807</v>
      </c>
      <c r="DI6" s="77">
        <f t="shared" si="19"/>
        <v>4.3647211927929329E-2</v>
      </c>
      <c r="DJ6" s="77">
        <f t="shared" si="20"/>
        <v>0.24517686469150135</v>
      </c>
      <c r="DK6" s="77" t="str">
        <f t="shared" si="21"/>
        <v/>
      </c>
      <c r="DL6" s="22" t="s">
        <v>820</v>
      </c>
      <c r="DM6" s="26">
        <f t="shared" si="52"/>
        <v>21949</v>
      </c>
      <c r="DN6" s="26">
        <f t="shared" si="53"/>
        <v>-234387</v>
      </c>
      <c r="DO6" s="26">
        <f t="shared" si="54"/>
        <v>253658</v>
      </c>
      <c r="DP6" s="26">
        <f t="shared" si="55"/>
        <v>-369724</v>
      </c>
      <c r="DQ6" s="26">
        <f t="shared" si="56"/>
        <v>59984</v>
      </c>
      <c r="DR6" s="26">
        <f t="shared" si="57"/>
        <v>-11060</v>
      </c>
      <c r="DS6" s="26">
        <f t="shared" si="58"/>
        <v>-366010.32999999996</v>
      </c>
      <c r="DT6" s="26">
        <f t="shared" si="59"/>
        <v>-605593.6725000001</v>
      </c>
      <c r="DU6" s="26">
        <f t="shared" si="60"/>
        <v>-280246.36200000002</v>
      </c>
      <c r="DV6" s="26">
        <f t="shared" si="61"/>
        <v>-134108.38500000001</v>
      </c>
      <c r="DW6" s="26">
        <f t="shared" si="62"/>
        <v>-301183</v>
      </c>
      <c r="DX6" s="26">
        <f t="shared" si="63"/>
        <v>457751</v>
      </c>
      <c r="DY6" s="26">
        <f t="shared" si="64"/>
        <v>448766</v>
      </c>
      <c r="DZ6" s="26">
        <f t="shared" si="65"/>
        <v>1015044</v>
      </c>
      <c r="EA6" s="26">
        <f t="shared" si="66"/>
        <v>502366</v>
      </c>
      <c r="EB6" s="26">
        <f t="shared" si="67"/>
        <v>59146</v>
      </c>
      <c r="EC6" s="26">
        <f t="shared" ref="EC6:EC14" si="114">IF(BY6&gt;0,EC5+AR6,"")</f>
        <v>-72482</v>
      </c>
      <c r="ED6" s="26">
        <f t="shared" ref="ED6:ED14" si="115">IF(BZ6&gt;0,ED5+AS6,"")</f>
        <v>41439</v>
      </c>
      <c r="EE6" s="26">
        <f t="shared" si="68"/>
        <v>18578</v>
      </c>
      <c r="EF6" s="26">
        <f t="shared" si="69"/>
        <v>-296055</v>
      </c>
      <c r="EG6" s="26">
        <f t="shared" si="70"/>
        <v>973746</v>
      </c>
      <c r="EH6" s="26">
        <f t="shared" si="71"/>
        <v>378837</v>
      </c>
      <c r="EI6" s="26">
        <f t="shared" si="72"/>
        <v>-342282</v>
      </c>
      <c r="EJ6" s="26" t="str">
        <f t="shared" si="73"/>
        <v/>
      </c>
      <c r="EK6" s="360">
        <f t="shared" si="74"/>
        <v>640520.33333333337</v>
      </c>
      <c r="EL6" s="359">
        <f t="shared" si="23"/>
        <v>108945.95804999999</v>
      </c>
      <c r="EM6" s="93">
        <f t="shared" si="75"/>
        <v>-194920.41661111114</v>
      </c>
      <c r="EN6" s="404" t="s">
        <v>820</v>
      </c>
      <c r="EO6" s="33">
        <f t="shared" si="76"/>
        <v>1443625</v>
      </c>
      <c r="EP6" s="33">
        <f t="shared" si="76"/>
        <v>1547257.72</v>
      </c>
      <c r="EQ6" s="33">
        <f t="shared" si="76"/>
        <v>3101746</v>
      </c>
      <c r="ER6" s="33">
        <f t="shared" si="76"/>
        <v>3666352</v>
      </c>
      <c r="ES6" s="33">
        <f t="shared" si="76"/>
        <v>4600746</v>
      </c>
      <c r="ET6" s="33">
        <f t="shared" si="76"/>
        <v>5135521</v>
      </c>
      <c r="EU6" s="34">
        <f t="shared" si="76"/>
        <v>4976122.22</v>
      </c>
      <c r="EV6" s="34">
        <f t="shared" si="76"/>
        <v>5346294.8032</v>
      </c>
      <c r="EW6" s="34">
        <f t="shared" si="76"/>
        <v>4649110.9791999999</v>
      </c>
      <c r="EX6" s="34">
        <f t="shared" si="112"/>
        <v>4008204.3309999998</v>
      </c>
      <c r="EY6" s="34">
        <f t="shared" si="112"/>
        <v>3872373</v>
      </c>
      <c r="EZ6" s="34">
        <f t="shared" si="77"/>
        <v>3883820</v>
      </c>
      <c r="FA6" s="34">
        <f t="shared" si="78"/>
        <v>3906545</v>
      </c>
      <c r="FB6" s="34">
        <f t="shared" si="79"/>
        <v>5047321</v>
      </c>
      <c r="FC6" s="34">
        <f t="shared" si="80"/>
        <v>4897945</v>
      </c>
      <c r="FD6" s="34">
        <f t="shared" si="81"/>
        <v>3950151</v>
      </c>
      <c r="FE6" s="34">
        <f t="shared" si="82"/>
        <v>4670896</v>
      </c>
      <c r="FF6" s="34">
        <f t="shared" si="83"/>
        <v>4479865</v>
      </c>
      <c r="FG6" s="34">
        <f t="shared" si="84"/>
        <v>5154893</v>
      </c>
      <c r="FH6" s="34">
        <f t="shared" si="85"/>
        <v>5161435</v>
      </c>
      <c r="FI6" s="34">
        <f t="shared" si="85"/>
        <v>6954481</v>
      </c>
      <c r="FJ6" s="34">
        <f t="shared" si="85"/>
        <v>6729695</v>
      </c>
      <c r="FK6" s="34">
        <f t="shared" si="85"/>
        <v>6269172</v>
      </c>
      <c r="FL6" s="34" t="str">
        <f t="shared" si="86"/>
        <v xml:space="preserve"> </v>
      </c>
      <c r="FM6" s="35" t="s">
        <v>820</v>
      </c>
      <c r="FN6" s="36">
        <f t="shared" si="87"/>
        <v>1.5204086933933674E-2</v>
      </c>
      <c r="FO6" s="36">
        <f t="shared" si="88"/>
        <v>-0.15148542933106193</v>
      </c>
      <c r="FP6" s="36">
        <f t="shared" si="89"/>
        <v>8.1779101190103898E-2</v>
      </c>
      <c r="FQ6" s="36">
        <f t="shared" si="90"/>
        <v>-0.10084247229944097</v>
      </c>
      <c r="FR6" s="36">
        <f t="shared" si="91"/>
        <v>1.3037885595075233E-2</v>
      </c>
      <c r="FS6" s="36">
        <f t="shared" si="92"/>
        <v>-2.1536276455689693E-3</v>
      </c>
      <c r="FT6" s="36">
        <f t="shared" si="93"/>
        <v>-7.3553324017833308E-2</v>
      </c>
      <c r="FU6" s="36">
        <f t="shared" si="94"/>
        <v>-0.11327352770324689</v>
      </c>
      <c r="FV6" s="36">
        <f t="shared" si="95"/>
        <v>-6.0279559523060404E-2</v>
      </c>
      <c r="FW6" s="36">
        <f t="shared" si="96"/>
        <v>-3.3458470159015458E-2</v>
      </c>
      <c r="FX6" s="36">
        <f t="shared" si="97"/>
        <v>-7.7777373202426517E-2</v>
      </c>
      <c r="FY6" s="36">
        <f t="shared" si="98"/>
        <v>0.11786102342539047</v>
      </c>
      <c r="FZ6" s="36">
        <f t="shared" si="99"/>
        <v>0.11487542060823566</v>
      </c>
      <c r="GA6" s="36">
        <f t="shared" si="100"/>
        <v>0.20110549735196157</v>
      </c>
      <c r="GB6" s="36">
        <f t="shared" si="101"/>
        <v>0.10256668868270265</v>
      </c>
      <c r="GC6" s="36">
        <f t="shared" si="102"/>
        <v>1.497309849674101E-2</v>
      </c>
      <c r="GD6" s="36">
        <f t="shared" si="103"/>
        <v>-1.5517793588210912E-2</v>
      </c>
      <c r="GE6" s="36">
        <f t="shared" si="104"/>
        <v>9.2500555262267949E-3</v>
      </c>
      <c r="GF6" s="36">
        <f t="shared" si="105"/>
        <v>3.6039545340708335E-3</v>
      </c>
      <c r="GG6" s="36">
        <f t="shared" si="106"/>
        <v>-5.7359048404174419E-2</v>
      </c>
      <c r="GH6" s="36">
        <f t="shared" si="107"/>
        <v>0.14001706238035591</v>
      </c>
      <c r="GI6" s="36">
        <f t="shared" si="108"/>
        <v>5.6293338702571215E-2</v>
      </c>
      <c r="GJ6" s="36">
        <f t="shared" si="109"/>
        <v>-5.4597640645367519E-2</v>
      </c>
      <c r="GK6" s="36" t="str">
        <f t="shared" si="109"/>
        <v xml:space="preserve"> </v>
      </c>
      <c r="GL6" s="24">
        <f>A17</f>
        <v>31106</v>
      </c>
      <c r="GM6" s="97">
        <f>SUM(B15:B17)</f>
        <v>1225161.72</v>
      </c>
      <c r="GN6" s="97">
        <f>SUM(C15:C17)</f>
        <v>-126130</v>
      </c>
      <c r="GO6" s="5">
        <f t="shared" si="27"/>
        <v>1582</v>
      </c>
      <c r="GP6" s="25" t="e">
        <f t="shared" si="28"/>
        <v>#DIV/0!</v>
      </c>
      <c r="GQ6" s="25" t="e">
        <f t="shared" si="29"/>
        <v>#DIV/0!</v>
      </c>
      <c r="GR6" s="48">
        <f t="shared" si="113"/>
        <v>93920.25</v>
      </c>
      <c r="GS6"/>
      <c r="GT6" s="48">
        <f t="shared" ref="GT6:GT14" si="116">SUM(GN3:GN6)</f>
        <v>375681</v>
      </c>
      <c r="GU6" s="48"/>
      <c r="GV6"/>
      <c r="GW6"/>
      <c r="GX6" s="6"/>
      <c r="GY6" s="48"/>
      <c r="GZ6" s="48"/>
      <c r="HA6" s="48"/>
      <c r="HB6" s="48"/>
      <c r="HC6" s="368">
        <v>4</v>
      </c>
      <c r="HD6" s="369" t="s">
        <v>217</v>
      </c>
      <c r="HE6" s="374">
        <v>3150000</v>
      </c>
      <c r="HF6" s="371">
        <v>0.02</v>
      </c>
      <c r="HG6" s="374">
        <v>525000</v>
      </c>
      <c r="HH6" s="402">
        <v>0.01</v>
      </c>
      <c r="HI6" s="375">
        <f>HI3+GV53</f>
        <v>4500415</v>
      </c>
      <c r="HJ6" s="373">
        <f>IF(HI6&gt;HE6,HF6,IF(HI6&lt;HG6,-HH6,))</f>
        <v>0.02</v>
      </c>
      <c r="HK6" s="185"/>
    </row>
    <row r="7" spans="1:219" ht="16">
      <c r="A7" s="24">
        <v>30802</v>
      </c>
      <c r="B7" s="25">
        <f t="shared" si="0"/>
        <v>280552</v>
      </c>
      <c r="C7" s="25">
        <f t="shared" si="1"/>
        <v>23933</v>
      </c>
      <c r="D7" s="25">
        <f t="shared" si="110"/>
        <v>-84216</v>
      </c>
      <c r="E7" s="25"/>
      <c r="F7" s="25"/>
      <c r="G7" s="25"/>
      <c r="H7" s="25"/>
      <c r="I7" s="25"/>
      <c r="J7" s="25"/>
      <c r="K7" s="25"/>
      <c r="L7" s="25">
        <f t="shared" si="30"/>
        <v>137975</v>
      </c>
      <c r="M7" s="25"/>
      <c r="N7" s="25"/>
      <c r="O7" s="25"/>
      <c r="P7" s="25">
        <f t="shared" si="31"/>
        <v>347835.3593688212</v>
      </c>
      <c r="Q7" s="25">
        <f t="shared" si="32"/>
        <v>-222153.80880728277</v>
      </c>
      <c r="R7" s="25">
        <f t="shared" si="2"/>
        <v>280552</v>
      </c>
      <c r="S7" s="25">
        <f t="shared" si="33"/>
        <v>74567</v>
      </c>
      <c r="T7" s="25">
        <f t="shared" si="34"/>
        <v>1418522.2143234741</v>
      </c>
      <c r="U7" s="25">
        <f t="shared" si="35"/>
        <v>776443.85114146117</v>
      </c>
      <c r="V7" s="25"/>
      <c r="W7" s="25"/>
      <c r="Y7" s="25"/>
      <c r="Z7" s="25"/>
      <c r="AA7" s="22" t="s">
        <v>953</v>
      </c>
      <c r="AB7" s="273">
        <v>23933</v>
      </c>
      <c r="AC7" s="26">
        <v>152548</v>
      </c>
      <c r="AD7" s="26">
        <v>16503</v>
      </c>
      <c r="AE7" s="26">
        <v>184099</v>
      </c>
      <c r="AF7" s="269">
        <v>158737</v>
      </c>
      <c r="AG7" s="26">
        <v>135899.53</v>
      </c>
      <c r="AH7" s="26">
        <f t="shared" si="3"/>
        <v>-166479.47</v>
      </c>
      <c r="AI7" s="26">
        <f t="shared" si="3"/>
        <v>-129993.92600000001</v>
      </c>
      <c r="AJ7" s="277">
        <f>AJ50+AJ66</f>
        <v>167701.12</v>
      </c>
      <c r="AK7" s="26">
        <f t="shared" si="111"/>
        <v>49673.110999999997</v>
      </c>
      <c r="AL7" s="26">
        <v>-243329</v>
      </c>
      <c r="AM7" s="26">
        <v>149035</v>
      </c>
      <c r="AN7" s="26">
        <v>457698</v>
      </c>
      <c r="AO7" s="26">
        <v>403902</v>
      </c>
      <c r="AP7" s="26">
        <v>407964</v>
      </c>
      <c r="AQ7" s="26">
        <v>175373</v>
      </c>
      <c r="AR7" s="26">
        <v>-121704</v>
      </c>
      <c r="AS7" s="26">
        <v>446055</v>
      </c>
      <c r="AT7" s="26">
        <v>217715</v>
      </c>
      <c r="AU7" s="26">
        <v>119169</v>
      </c>
      <c r="AV7" s="26">
        <v>633258</v>
      </c>
      <c r="AW7" s="26">
        <v>-219974</v>
      </c>
      <c r="AX7" s="26">
        <v>598853</v>
      </c>
      <c r="AY7" s="26">
        <v>559632</v>
      </c>
      <c r="AZ7" s="26">
        <v>429860</v>
      </c>
      <c r="BA7" s="26">
        <v>-141490</v>
      </c>
      <c r="BB7" s="26"/>
      <c r="BC7" s="311">
        <f t="shared" si="36"/>
        <v>0</v>
      </c>
      <c r="BD7" s="26">
        <f t="shared" si="4"/>
        <v>336878.33333333331</v>
      </c>
      <c r="BE7" s="93">
        <f t="shared" si="5"/>
        <v>76304.036500000002</v>
      </c>
      <c r="BF7" s="27"/>
      <c r="BG7" s="28"/>
      <c r="BH7" s="23" t="s">
        <v>953</v>
      </c>
      <c r="BI7" s="26">
        <f>197801+82751</f>
        <v>280552</v>
      </c>
      <c r="BJ7" s="26">
        <f>390999+109700+184533+52-267</f>
        <v>685017</v>
      </c>
      <c r="BK7" s="26">
        <v>819672</v>
      </c>
      <c r="BL7" s="26">
        <v>1244896</v>
      </c>
      <c r="BM7" s="26">
        <v>1408267</v>
      </c>
      <c r="BN7" s="26">
        <f>1453371.5-668.35+BK60*0.8</f>
        <v>1481503.15</v>
      </c>
      <c r="BO7" s="29">
        <f>1280376.58+0.8*BL60</f>
        <v>1323478.98</v>
      </c>
      <c r="BP7" s="29">
        <f t="shared" si="6"/>
        <v>1367772.8060000001</v>
      </c>
      <c r="BQ7" s="29">
        <f t="shared" si="37"/>
        <v>1504990.8208000001</v>
      </c>
      <c r="BR7" s="29">
        <f t="shared" si="38"/>
        <v>1081083.9369999999</v>
      </c>
      <c r="BS7" s="29">
        <v>885786</v>
      </c>
      <c r="BT7" s="26">
        <v>1033703</v>
      </c>
      <c r="BU7" s="26">
        <v>1418552</v>
      </c>
      <c r="BV7" s="26">
        <v>1581307</v>
      </c>
      <c r="BW7" s="26">
        <v>1537412</v>
      </c>
      <c r="BX7" s="26">
        <v>1347483</v>
      </c>
      <c r="BY7" s="26">
        <v>1107311</v>
      </c>
      <c r="BZ7" s="26">
        <v>1743022</v>
      </c>
      <c r="CA7" s="26">
        <v>1701296</v>
      </c>
      <c r="CB7" s="26">
        <v>1762052</v>
      </c>
      <c r="CC7" s="26">
        <v>2494703</v>
      </c>
      <c r="CD7" s="26">
        <v>1645165</v>
      </c>
      <c r="CE7" s="777">
        <v>2571487</v>
      </c>
      <c r="CF7" s="777">
        <v>2613935</v>
      </c>
      <c r="CG7" s="777">
        <v>2035054</v>
      </c>
      <c r="CH7" s="777">
        <v>1842552</v>
      </c>
      <c r="CI7" s="777"/>
      <c r="CJ7" s="650">
        <f t="shared" si="39"/>
        <v>0.12895974799310883</v>
      </c>
      <c r="CK7" s="89">
        <f t="shared" si="7"/>
        <v>1232622.5087600001</v>
      </c>
      <c r="CL7" s="90">
        <f t="shared" si="8"/>
        <v>1166924.6085272729</v>
      </c>
      <c r="CM7" s="35" t="s">
        <v>953</v>
      </c>
      <c r="CN7" s="36">
        <f t="shared" si="9"/>
        <v>8.5306823690438849E-2</v>
      </c>
      <c r="CO7" s="36">
        <f t="shared" si="10"/>
        <v>0.2226922835491674</v>
      </c>
      <c r="CP7" s="36">
        <f t="shared" si="11"/>
        <v>2.0133663221386114E-2</v>
      </c>
      <c r="CQ7" s="36">
        <f t="shared" si="12"/>
        <v>0.14788303601264685</v>
      </c>
      <c r="CR7" s="36">
        <f t="shared" si="13"/>
        <v>0.11271797180506253</v>
      </c>
      <c r="CS7" s="36">
        <f t="shared" si="14"/>
        <v>9.1730841071785779E-2</v>
      </c>
      <c r="CT7" s="37">
        <f t="shared" si="15"/>
        <v>-0.12578928151922747</v>
      </c>
      <c r="CU7" s="37">
        <f t="shared" si="40"/>
        <v>-9.5040583808770354E-2</v>
      </c>
      <c r="CV7" s="77">
        <f t="shared" si="41"/>
        <v>0.11142999524133708</v>
      </c>
      <c r="CW7" s="77">
        <f t="shared" si="42"/>
        <v>4.5947506294323932E-2</v>
      </c>
      <c r="CX7" s="77">
        <f t="shared" si="43"/>
        <v>-0.27470404815610089</v>
      </c>
      <c r="CY7" s="77">
        <f t="shared" si="44"/>
        <v>0.14417584161021105</v>
      </c>
      <c r="CZ7" s="77">
        <f t="shared" si="45"/>
        <v>0.32265154890338882</v>
      </c>
      <c r="DA7" s="77">
        <f t="shared" si="46"/>
        <v>0.25542288752278969</v>
      </c>
      <c r="DB7" s="77">
        <f t="shared" si="47"/>
        <v>0.26535762697312104</v>
      </c>
      <c r="DC7" s="77">
        <f t="shared" si="48"/>
        <v>0.13014858072420951</v>
      </c>
      <c r="DD7" s="77">
        <f t="shared" si="49"/>
        <v>-0.10990950148603237</v>
      </c>
      <c r="DE7" s="77">
        <f t="shared" si="50"/>
        <v>0.25590899024797165</v>
      </c>
      <c r="DF7" s="77">
        <f t="shared" si="51"/>
        <v>0.12797008868533166</v>
      </c>
      <c r="DG7" s="77">
        <f t="shared" si="17"/>
        <v>6.763080771736589E-2</v>
      </c>
      <c r="DH7" s="77">
        <f t="shared" si="18"/>
        <v>0.25384103839214528</v>
      </c>
      <c r="DI7" s="77">
        <f t="shared" si="19"/>
        <v>-0.13370938477295591</v>
      </c>
      <c r="DJ7" s="77">
        <f t="shared" si="20"/>
        <v>0.23288198618153622</v>
      </c>
      <c r="DK7" s="77" t="str">
        <f t="shared" si="21"/>
        <v/>
      </c>
      <c r="DL7" s="22" t="s">
        <v>953</v>
      </c>
      <c r="DM7" s="26">
        <f t="shared" si="52"/>
        <v>45882</v>
      </c>
      <c r="DN7" s="26">
        <f t="shared" si="53"/>
        <v>-81839</v>
      </c>
      <c r="DO7" s="26">
        <f t="shared" si="54"/>
        <v>270161</v>
      </c>
      <c r="DP7" s="26">
        <f t="shared" si="55"/>
        <v>-185625</v>
      </c>
      <c r="DQ7" s="26">
        <f t="shared" si="56"/>
        <v>218721</v>
      </c>
      <c r="DR7" s="26">
        <f t="shared" si="57"/>
        <v>124839.53</v>
      </c>
      <c r="DS7" s="26">
        <f t="shared" si="58"/>
        <v>-532489.79999999993</v>
      </c>
      <c r="DT7" s="26">
        <f t="shared" si="59"/>
        <v>-735587.59850000008</v>
      </c>
      <c r="DU7" s="26">
        <f t="shared" si="60"/>
        <v>-112545.24200000003</v>
      </c>
      <c r="DV7" s="26">
        <f t="shared" si="61"/>
        <v>-84435.274000000005</v>
      </c>
      <c r="DW7" s="26">
        <f t="shared" si="62"/>
        <v>-544512</v>
      </c>
      <c r="DX7" s="26">
        <f t="shared" si="63"/>
        <v>606786</v>
      </c>
      <c r="DY7" s="26">
        <f t="shared" si="64"/>
        <v>906464</v>
      </c>
      <c r="DZ7" s="26">
        <f t="shared" si="65"/>
        <v>1418946</v>
      </c>
      <c r="EA7" s="26">
        <f t="shared" si="66"/>
        <v>910330</v>
      </c>
      <c r="EB7" s="26">
        <f t="shared" si="67"/>
        <v>234519</v>
      </c>
      <c r="EC7" s="26">
        <f t="shared" si="114"/>
        <v>-194186</v>
      </c>
      <c r="ED7" s="26">
        <f t="shared" si="115"/>
        <v>487494</v>
      </c>
      <c r="EE7" s="26">
        <f t="shared" si="68"/>
        <v>236293</v>
      </c>
      <c r="EF7" s="26">
        <f t="shared" si="69"/>
        <v>-176886</v>
      </c>
      <c r="EG7" s="26">
        <f t="shared" si="70"/>
        <v>1607004</v>
      </c>
      <c r="EH7" s="26">
        <f t="shared" si="71"/>
        <v>158863</v>
      </c>
      <c r="EI7" s="26">
        <f t="shared" si="72"/>
        <v>256571</v>
      </c>
      <c r="EJ7" s="26" t="str">
        <f t="shared" si="73"/>
        <v/>
      </c>
      <c r="EK7" s="360">
        <f t="shared" si="74"/>
        <v>977398.66666666663</v>
      </c>
      <c r="EL7" s="359">
        <f t="shared" si="23"/>
        <v>240577.88854999997</v>
      </c>
      <c r="EM7" s="93">
        <f t="shared" si="75"/>
        <v>-175719.26494444444</v>
      </c>
      <c r="EN7" s="404" t="s">
        <v>953</v>
      </c>
      <c r="EO7" s="33">
        <f t="shared" ref="EO7:ES14" si="117">EO6+BI7</f>
        <v>1724177</v>
      </c>
      <c r="EP7" s="33">
        <f t="shared" si="117"/>
        <v>2232274.7199999997</v>
      </c>
      <c r="EQ7" s="33">
        <f t="shared" si="117"/>
        <v>3921418</v>
      </c>
      <c r="ER7" s="33">
        <f t="shared" si="117"/>
        <v>4911248</v>
      </c>
      <c r="ES7" s="33">
        <f t="shared" si="117"/>
        <v>6009013</v>
      </c>
      <c r="ET7" s="33">
        <f t="shared" ref="ET7:EW14" si="118">IF(BN7&gt;0,ET6+BN7," ")</f>
        <v>6617024.1500000004</v>
      </c>
      <c r="EU7" s="34">
        <f t="shared" si="118"/>
        <v>6299601.1999999993</v>
      </c>
      <c r="EV7" s="34">
        <f t="shared" si="118"/>
        <v>6714067.6091999998</v>
      </c>
      <c r="EW7" s="34">
        <f t="shared" si="118"/>
        <v>6154101.7999999998</v>
      </c>
      <c r="EX7" s="34">
        <f t="shared" si="112"/>
        <v>5089288.2679999992</v>
      </c>
      <c r="EY7" s="34">
        <f t="shared" si="112"/>
        <v>4758159</v>
      </c>
      <c r="EZ7" s="34">
        <f t="shared" si="77"/>
        <v>4917523</v>
      </c>
      <c r="FA7" s="34">
        <f t="shared" si="78"/>
        <v>5325097</v>
      </c>
      <c r="FB7" s="34">
        <f t="shared" si="79"/>
        <v>6628628</v>
      </c>
      <c r="FC7" s="34">
        <f t="shared" si="80"/>
        <v>6435357</v>
      </c>
      <c r="FD7" s="34">
        <f t="shared" si="81"/>
        <v>5297634</v>
      </c>
      <c r="FE7" s="34">
        <f t="shared" si="82"/>
        <v>5778207</v>
      </c>
      <c r="FF7" s="34">
        <f t="shared" si="83"/>
        <v>6222887</v>
      </c>
      <c r="FG7" s="34">
        <f t="shared" si="84"/>
        <v>6856189</v>
      </c>
      <c r="FH7" s="34">
        <f t="shared" ref="FH7:FK14" si="119">IF(CB7&gt;0,FH6+CB7," ")</f>
        <v>6923487</v>
      </c>
      <c r="FI7" s="34">
        <f t="shared" si="119"/>
        <v>9449184</v>
      </c>
      <c r="FJ7" s="34">
        <f t="shared" si="119"/>
        <v>8374860</v>
      </c>
      <c r="FK7" s="34">
        <f t="shared" si="119"/>
        <v>8840659</v>
      </c>
      <c r="FL7" s="34" t="str">
        <f t="shared" ref="FL7" si="120">IF(CI7&gt;0,FL6+CI7," ")</f>
        <v xml:space="preserve"> </v>
      </c>
      <c r="FM7" s="35" t="s">
        <v>953</v>
      </c>
      <c r="FN7" s="36">
        <f t="shared" si="87"/>
        <v>2.6610956995714478E-2</v>
      </c>
      <c r="FO7" s="36">
        <f t="shared" si="88"/>
        <v>-3.6661706225835866E-2</v>
      </c>
      <c r="FP7" s="36">
        <f t="shared" si="89"/>
        <v>6.8893701207063368E-2</v>
      </c>
      <c r="FQ7" s="36">
        <f t="shared" si="90"/>
        <v>-3.7795892204995553E-2</v>
      </c>
      <c r="FR7" s="36">
        <f t="shared" si="91"/>
        <v>3.6398822901531416E-2</v>
      </c>
      <c r="FS7" s="36">
        <f t="shared" si="92"/>
        <v>1.8866415955274999E-2</v>
      </c>
      <c r="FT7" s="36">
        <f t="shared" si="93"/>
        <v>-8.4527541203719372E-2</v>
      </c>
      <c r="FU7" s="36">
        <f t="shared" si="94"/>
        <v>-0.10955915866740094</v>
      </c>
      <c r="FV7" s="36">
        <f t="shared" si="95"/>
        <v>-1.8287842102319471E-2</v>
      </c>
      <c r="FW7" s="36">
        <f t="shared" si="96"/>
        <v>-1.6590782355738239E-2</v>
      </c>
      <c r="FX7" s="36">
        <f t="shared" si="97"/>
        <v>-0.11443753771153928</v>
      </c>
      <c r="FY7" s="36">
        <f t="shared" si="98"/>
        <v>0.12339261046669228</v>
      </c>
      <c r="FZ7" s="36">
        <f t="shared" si="99"/>
        <v>0.17022488041062914</v>
      </c>
      <c r="GA7" s="36">
        <f t="shared" si="100"/>
        <v>0.21406330239078131</v>
      </c>
      <c r="GB7" s="36">
        <f t="shared" si="101"/>
        <v>0.14145757570248241</v>
      </c>
      <c r="GC7" s="36">
        <f t="shared" si="102"/>
        <v>4.4268630109214793E-2</v>
      </c>
      <c r="GD7" s="36">
        <f t="shared" si="103"/>
        <v>-3.3606618800607176E-2</v>
      </c>
      <c r="GE7" s="36">
        <f t="shared" si="104"/>
        <v>7.8338880329981889E-2</v>
      </c>
      <c r="GF7" s="36">
        <f t="shared" si="105"/>
        <v>3.4464189945755577E-2</v>
      </c>
      <c r="GG7" s="36">
        <f t="shared" si="106"/>
        <v>-2.5548686666126478E-2</v>
      </c>
      <c r="GH7" s="36">
        <f t="shared" si="107"/>
        <v>0.17006801857176237</v>
      </c>
      <c r="GI7" s="36">
        <f t="shared" si="108"/>
        <v>1.8969033512201996E-2</v>
      </c>
      <c r="GJ7" s="36">
        <f t="shared" si="109"/>
        <v>2.9021705282377706E-2</v>
      </c>
      <c r="GK7" s="36" t="str">
        <f t="shared" si="109"/>
        <v xml:space="preserve"> </v>
      </c>
      <c r="GL7" s="24">
        <f>A20</f>
        <v>31198</v>
      </c>
      <c r="GM7" s="97">
        <f>SUM(B18:B20)</f>
        <v>1868561</v>
      </c>
      <c r="GN7" s="97">
        <f>SUM(C18:C20)</f>
        <v>216140</v>
      </c>
      <c r="GO7" s="5">
        <f t="shared" si="27"/>
        <v>342270</v>
      </c>
      <c r="GP7" s="25" t="e">
        <f t="shared" si="28"/>
        <v>#DIV/0!</v>
      </c>
      <c r="GQ7" s="25" t="e">
        <f t="shared" si="29"/>
        <v>#DIV/0!</v>
      </c>
      <c r="GR7" s="48">
        <f t="shared" si="113"/>
        <v>139059.5</v>
      </c>
      <c r="GS7"/>
      <c r="GT7" s="48">
        <f t="shared" si="116"/>
        <v>556238</v>
      </c>
      <c r="GU7" s="48"/>
      <c r="GV7"/>
      <c r="GW7"/>
      <c r="GX7" s="6"/>
      <c r="GY7" s="48"/>
      <c r="GZ7" s="48"/>
      <c r="HA7" s="48"/>
      <c r="HB7" s="48"/>
      <c r="HC7" s="368">
        <v>5</v>
      </c>
      <c r="HD7" s="369" t="s">
        <v>1516</v>
      </c>
      <c r="HE7" s="376" t="s">
        <v>1549</v>
      </c>
      <c r="HF7" s="371">
        <v>0.02</v>
      </c>
      <c r="HG7" s="377" t="s">
        <v>1123</v>
      </c>
      <c r="HH7" s="402">
        <v>0.01</v>
      </c>
      <c r="HI7" s="378">
        <f>HB57</f>
        <v>0.418670305444516</v>
      </c>
      <c r="HJ7" s="379">
        <v>0.02</v>
      </c>
      <c r="HK7" s="185"/>
    </row>
    <row r="8" spans="1:219" ht="16">
      <c r="A8" s="24">
        <v>30833</v>
      </c>
      <c r="B8" s="25">
        <f t="shared" si="0"/>
        <v>551008</v>
      </c>
      <c r="C8" s="25">
        <f t="shared" si="1"/>
        <v>125692</v>
      </c>
      <c r="D8" s="25">
        <f t="shared" si="110"/>
        <v>35583</v>
      </c>
      <c r="E8" s="25"/>
      <c r="F8" s="25"/>
      <c r="G8" s="25"/>
      <c r="H8" s="25"/>
      <c r="I8" s="25"/>
      <c r="J8" s="25"/>
      <c r="K8" s="25"/>
      <c r="L8" s="25">
        <f t="shared" si="30"/>
        <v>101759</v>
      </c>
      <c r="M8" s="25"/>
      <c r="N8" s="25"/>
      <c r="O8" s="25"/>
      <c r="P8" s="25">
        <f t="shared" si="31"/>
        <v>347835.3593688212</v>
      </c>
      <c r="Q8" s="25">
        <f t="shared" si="32"/>
        <v>-222153.80880728277</v>
      </c>
      <c r="R8" s="25">
        <f t="shared" si="2"/>
        <v>551008</v>
      </c>
      <c r="S8" s="25">
        <f t="shared" si="33"/>
        <v>270456</v>
      </c>
      <c r="T8" s="25">
        <f t="shared" si="34"/>
        <v>1418522.2143234741</v>
      </c>
      <c r="U8" s="25">
        <f t="shared" si="35"/>
        <v>776443.85114146117</v>
      </c>
      <c r="V8" s="25"/>
      <c r="W8" s="25"/>
      <c r="Y8" s="25"/>
      <c r="Z8" s="25"/>
      <c r="AA8" s="22" t="s">
        <v>970</v>
      </c>
      <c r="AB8" s="273">
        <v>125692</v>
      </c>
      <c r="AC8" s="26">
        <v>171849</v>
      </c>
      <c r="AD8" s="26">
        <v>135554</v>
      </c>
      <c r="AE8" s="26">
        <v>101907</v>
      </c>
      <c r="AF8" s="269">
        <v>113724</v>
      </c>
      <c r="AG8" s="26">
        <v>178089.76</v>
      </c>
      <c r="AH8" s="26">
        <f t="shared" si="3"/>
        <v>332775.67999999999</v>
      </c>
      <c r="AI8" s="26">
        <f>AI51+AF82</f>
        <v>-76671.28</v>
      </c>
      <c r="AJ8" s="277">
        <f>AJ51+AG67</f>
        <v>-33528.925000000003</v>
      </c>
      <c r="AK8" s="26">
        <f t="shared" si="111"/>
        <v>-160732.71299999999</v>
      </c>
      <c r="AL8" s="26">
        <v>-2172</v>
      </c>
      <c r="AM8" s="26">
        <v>43197</v>
      </c>
      <c r="AN8" s="26">
        <v>249770</v>
      </c>
      <c r="AO8" s="26">
        <v>416473</v>
      </c>
      <c r="AP8" s="26">
        <v>64840</v>
      </c>
      <c r="AQ8" s="26">
        <v>454972</v>
      </c>
      <c r="AR8" s="26">
        <v>381530</v>
      </c>
      <c r="AS8" s="26">
        <v>194403</v>
      </c>
      <c r="AT8" s="26">
        <v>-26244</v>
      </c>
      <c r="AU8" s="26">
        <v>748705</v>
      </c>
      <c r="AV8" s="26">
        <v>726588</v>
      </c>
      <c r="AW8" s="26">
        <v>145102</v>
      </c>
      <c r="AX8" s="26">
        <v>699684</v>
      </c>
      <c r="AY8" s="26">
        <v>425432</v>
      </c>
      <c r="AZ8" s="26">
        <v>218642</v>
      </c>
      <c r="BA8" s="26">
        <v>63115</v>
      </c>
      <c r="BB8" s="26"/>
      <c r="BC8" s="311">
        <f t="shared" si="36"/>
        <v>0</v>
      </c>
      <c r="BD8" s="26">
        <f t="shared" si="4"/>
        <v>236480</v>
      </c>
      <c r="BE8" s="93">
        <f t="shared" si="5"/>
        <v>74635.852199999994</v>
      </c>
      <c r="BF8" s="27"/>
      <c r="BG8" s="28"/>
      <c r="BH8" s="23" t="s">
        <v>970</v>
      </c>
      <c r="BI8" s="26">
        <f>454457+96551</f>
        <v>551008</v>
      </c>
      <c r="BJ8" s="26">
        <f>874229-208000+195130+89</f>
        <v>861448</v>
      </c>
      <c r="BK8" s="26">
        <v>1067844</v>
      </c>
      <c r="BL8" s="26">
        <v>1000425</v>
      </c>
      <c r="BM8" s="26">
        <v>1635371</v>
      </c>
      <c r="BN8" s="26">
        <f>1451154+BK61*0.8</f>
        <v>1493154</v>
      </c>
      <c r="BO8" s="29">
        <f>1853685.36+0.8*BL61</f>
        <v>1896958.9600000002</v>
      </c>
      <c r="BP8" s="29">
        <f t="shared" si="6"/>
        <v>1546918.5204</v>
      </c>
      <c r="BQ8" s="29">
        <f t="shared" si="37"/>
        <v>1493879.7808000001</v>
      </c>
      <c r="BR8" s="29">
        <f t="shared" si="38"/>
        <v>949465.29600000009</v>
      </c>
      <c r="BS8" s="29">
        <v>1046300</v>
      </c>
      <c r="BT8" s="26">
        <v>929225</v>
      </c>
      <c r="BU8" s="26">
        <v>1263663</v>
      </c>
      <c r="BV8" s="26">
        <v>1570396</v>
      </c>
      <c r="BW8" s="26">
        <v>1292004</v>
      </c>
      <c r="BX8" s="26">
        <v>1686596</v>
      </c>
      <c r="BY8" s="26">
        <v>1625491</v>
      </c>
      <c r="BZ8" s="26">
        <v>1602908</v>
      </c>
      <c r="CA8" s="26">
        <v>1569316</v>
      </c>
      <c r="CB8" s="26">
        <v>2304330</v>
      </c>
      <c r="CC8" s="26">
        <v>2923100</v>
      </c>
      <c r="CD8" s="26">
        <v>1895115</v>
      </c>
      <c r="CE8" s="777">
        <v>2591287</v>
      </c>
      <c r="CF8" s="777">
        <v>2448192</v>
      </c>
      <c r="CG8" s="777">
        <v>2249884</v>
      </c>
      <c r="CH8" s="777">
        <v>1673987</v>
      </c>
      <c r="CI8" s="777"/>
      <c r="CJ8" s="650">
        <f t="shared" si="39"/>
        <v>5.563424416907603E-2</v>
      </c>
      <c r="CK8" s="89">
        <f t="shared" si="7"/>
        <v>1386704.51144</v>
      </c>
      <c r="CL8" s="90">
        <f t="shared" si="8"/>
        <v>1265544.5052</v>
      </c>
      <c r="CM8" s="35" t="s">
        <v>970</v>
      </c>
      <c r="CN8" s="36">
        <f t="shared" si="9"/>
        <v>0.22811284046692606</v>
      </c>
      <c r="CO8" s="36">
        <f t="shared" si="10"/>
        <v>0.1994885355819504</v>
      </c>
      <c r="CP8" s="36">
        <f t="shared" si="11"/>
        <v>0.12694176302905669</v>
      </c>
      <c r="CQ8" s="36">
        <f t="shared" si="12"/>
        <v>0.10186370792413224</v>
      </c>
      <c r="CR8" s="36">
        <f t="shared" si="13"/>
        <v>6.9540183848191023E-2</v>
      </c>
      <c r="CS8" s="36">
        <f t="shared" si="14"/>
        <v>0.11927085886653353</v>
      </c>
      <c r="CT8" s="37">
        <f t="shared" si="15"/>
        <v>0.17542587215487254</v>
      </c>
      <c r="CU8" s="37">
        <f t="shared" si="40"/>
        <v>-4.9563877469237648E-2</v>
      </c>
      <c r="CV8" s="77">
        <f t="shared" si="41"/>
        <v>-2.2444192250894945E-2</v>
      </c>
      <c r="CW8" s="77">
        <f t="shared" si="42"/>
        <v>-0.16928761238262255</v>
      </c>
      <c r="CX8" s="77">
        <f t="shared" si="43"/>
        <v>-2.07588645703909E-3</v>
      </c>
      <c r="CY8" s="77">
        <f t="shared" si="44"/>
        <v>4.6487126368748154E-2</v>
      </c>
      <c r="CZ8" s="77">
        <f t="shared" si="45"/>
        <v>0.19765554582194778</v>
      </c>
      <c r="DA8" s="77">
        <f t="shared" si="46"/>
        <v>0.26520253490202472</v>
      </c>
      <c r="DB8" s="77">
        <f t="shared" si="47"/>
        <v>5.0185603140547555E-2</v>
      </c>
      <c r="DC8" s="77">
        <f t="shared" si="48"/>
        <v>0.26975754715414957</v>
      </c>
      <c r="DD8" s="77">
        <f t="shared" si="49"/>
        <v>0.23471677173235656</v>
      </c>
      <c r="DE8" s="77">
        <f t="shared" si="50"/>
        <v>0.12128144597194598</v>
      </c>
      <c r="DF8" s="77">
        <f t="shared" si="51"/>
        <v>-1.6723209347257021E-2</v>
      </c>
      <c r="DG8" s="77">
        <f t="shared" si="17"/>
        <v>0.32491223045310352</v>
      </c>
      <c r="DH8" s="77">
        <f t="shared" si="18"/>
        <v>0.24856761657144813</v>
      </c>
      <c r="DI8" s="77">
        <f t="shared" si="19"/>
        <v>7.656632974779895E-2</v>
      </c>
      <c r="DJ8" s="77">
        <f t="shared" si="20"/>
        <v>0.27001408952385436</v>
      </c>
      <c r="DK8" s="77" t="str">
        <f t="shared" si="21"/>
        <v/>
      </c>
      <c r="DL8" s="22" t="s">
        <v>970</v>
      </c>
      <c r="DM8" s="26">
        <f t="shared" si="52"/>
        <v>171574</v>
      </c>
      <c r="DN8" s="26">
        <f t="shared" si="53"/>
        <v>90010</v>
      </c>
      <c r="DO8" s="26">
        <f t="shared" si="54"/>
        <v>405715</v>
      </c>
      <c r="DP8" s="26">
        <f t="shared" si="55"/>
        <v>-83718</v>
      </c>
      <c r="DQ8" s="26">
        <f t="shared" si="56"/>
        <v>332445</v>
      </c>
      <c r="DR8" s="26">
        <f t="shared" si="57"/>
        <v>302929.29000000004</v>
      </c>
      <c r="DS8" s="26">
        <f t="shared" si="58"/>
        <v>-199714.11999999994</v>
      </c>
      <c r="DT8" s="26">
        <f t="shared" si="59"/>
        <v>-812258.87850000011</v>
      </c>
      <c r="DU8" s="26">
        <f t="shared" si="60"/>
        <v>-146074.16700000002</v>
      </c>
      <c r="DV8" s="26">
        <f t="shared" si="61"/>
        <v>-245167.98699999999</v>
      </c>
      <c r="DW8" s="26">
        <f t="shared" si="62"/>
        <v>-546684</v>
      </c>
      <c r="DX8" s="26">
        <f t="shared" si="63"/>
        <v>649983</v>
      </c>
      <c r="DY8" s="26">
        <f t="shared" si="64"/>
        <v>1156234</v>
      </c>
      <c r="DZ8" s="26">
        <f t="shared" si="65"/>
        <v>1835419</v>
      </c>
      <c r="EA8" s="26">
        <f t="shared" si="66"/>
        <v>975170</v>
      </c>
      <c r="EB8" s="26">
        <f t="shared" si="67"/>
        <v>689491</v>
      </c>
      <c r="EC8" s="26">
        <f t="shared" si="114"/>
        <v>187344</v>
      </c>
      <c r="ED8" s="26">
        <f t="shared" si="115"/>
        <v>681897</v>
      </c>
      <c r="EE8" s="26">
        <f t="shared" si="68"/>
        <v>210049</v>
      </c>
      <c r="EF8" s="26">
        <f t="shared" si="69"/>
        <v>571819</v>
      </c>
      <c r="EG8" s="26">
        <f t="shared" si="70"/>
        <v>2333592</v>
      </c>
      <c r="EH8" s="26">
        <f t="shared" si="71"/>
        <v>303965</v>
      </c>
      <c r="EI8" s="26">
        <f t="shared" si="72"/>
        <v>956255</v>
      </c>
      <c r="EJ8" s="26" t="str">
        <f t="shared" si="73"/>
        <v/>
      </c>
      <c r="EK8" s="360">
        <f t="shared" si="74"/>
        <v>1213878.6666666667</v>
      </c>
      <c r="EL8" s="359">
        <f t="shared" si="23"/>
        <v>374345.59674999997</v>
      </c>
      <c r="EM8" s="93">
        <f t="shared" si="75"/>
        <v>-110280.87361111111</v>
      </c>
      <c r="EN8" s="404" t="s">
        <v>970</v>
      </c>
      <c r="EO8" s="33">
        <f t="shared" si="117"/>
        <v>2275185</v>
      </c>
      <c r="EP8" s="33">
        <f t="shared" si="117"/>
        <v>3093722.7199999997</v>
      </c>
      <c r="EQ8" s="33">
        <f t="shared" si="117"/>
        <v>4989262</v>
      </c>
      <c r="ER8" s="33">
        <f t="shared" si="117"/>
        <v>5911673</v>
      </c>
      <c r="ES8" s="33">
        <f t="shared" si="117"/>
        <v>7644384</v>
      </c>
      <c r="ET8" s="33">
        <f t="shared" si="118"/>
        <v>8110178.1500000004</v>
      </c>
      <c r="EU8" s="34">
        <f t="shared" si="118"/>
        <v>8196560.1599999992</v>
      </c>
      <c r="EV8" s="34">
        <f t="shared" si="118"/>
        <v>8260986.1295999996</v>
      </c>
      <c r="EW8" s="34">
        <f t="shared" si="118"/>
        <v>7647981.5807999996</v>
      </c>
      <c r="EX8" s="34">
        <f t="shared" si="112"/>
        <v>6038753.5639999993</v>
      </c>
      <c r="EY8" s="34">
        <f t="shared" si="112"/>
        <v>5804459</v>
      </c>
      <c r="EZ8" s="34">
        <f t="shared" si="77"/>
        <v>5846748</v>
      </c>
      <c r="FA8" s="34">
        <f t="shared" si="78"/>
        <v>6588760</v>
      </c>
      <c r="FB8" s="34">
        <f t="shared" si="79"/>
        <v>8199024</v>
      </c>
      <c r="FC8" s="34">
        <f t="shared" si="80"/>
        <v>7727361</v>
      </c>
      <c r="FD8" s="34">
        <f t="shared" si="81"/>
        <v>6984230</v>
      </c>
      <c r="FE8" s="34">
        <f t="shared" si="82"/>
        <v>7403698</v>
      </c>
      <c r="FF8" s="34">
        <f t="shared" si="83"/>
        <v>7825795</v>
      </c>
      <c r="FG8" s="34">
        <f t="shared" si="84"/>
        <v>8425505</v>
      </c>
      <c r="FH8" s="34">
        <f t="shared" si="119"/>
        <v>9227817</v>
      </c>
      <c r="FI8" s="34">
        <f t="shared" si="119"/>
        <v>12372284</v>
      </c>
      <c r="FJ8" s="34">
        <f t="shared" si="119"/>
        <v>10269975</v>
      </c>
      <c r="FK8" s="34">
        <f t="shared" si="119"/>
        <v>11431946</v>
      </c>
      <c r="FL8" s="34" t="str">
        <f t="shared" si="86"/>
        <v xml:space="preserve"> </v>
      </c>
      <c r="FM8" s="35" t="s">
        <v>970</v>
      </c>
      <c r="FN8" s="36">
        <f t="shared" si="87"/>
        <v>7.5411010533209394E-2</v>
      </c>
      <c r="FO8" s="36">
        <f t="shared" si="88"/>
        <v>2.9094397962077224E-2</v>
      </c>
      <c r="FP8" s="36">
        <f t="shared" si="89"/>
        <v>8.1317637758850911E-2</v>
      </c>
      <c r="FQ8" s="36">
        <f t="shared" si="90"/>
        <v>-1.4161473410318872E-2</v>
      </c>
      <c r="FR8" s="36">
        <f t="shared" si="91"/>
        <v>4.3488788632282206E-2</v>
      </c>
      <c r="FS8" s="36">
        <f t="shared" si="92"/>
        <v>3.7351743007026303E-2</v>
      </c>
      <c r="FT8" s="36">
        <f t="shared" si="93"/>
        <v>-2.43656016794245E-2</v>
      </c>
      <c r="FU8" s="36">
        <f t="shared" si="94"/>
        <v>-9.8324687362636942E-2</v>
      </c>
      <c r="FV8" s="36">
        <f t="shared" si="95"/>
        <v>-1.9099701726101734E-2</v>
      </c>
      <c r="FW8" s="36">
        <f t="shared" si="96"/>
        <v>-4.0599104500896974E-2</v>
      </c>
      <c r="FX8" s="36">
        <f t="shared" si="97"/>
        <v>-9.4183454478703355E-2</v>
      </c>
      <c r="FY8" s="36">
        <f t="shared" si="98"/>
        <v>0.11117000424851559</v>
      </c>
      <c r="FZ8" s="36">
        <f t="shared" si="99"/>
        <v>0.17548582737874804</v>
      </c>
      <c r="GA8" s="36">
        <f t="shared" si="100"/>
        <v>0.22385822995517515</v>
      </c>
      <c r="GB8" s="36">
        <f t="shared" si="101"/>
        <v>0.12619702897276314</v>
      </c>
      <c r="GC8" s="36">
        <f t="shared" si="102"/>
        <v>9.8721118863496757E-2</v>
      </c>
      <c r="GD8" s="36">
        <f t="shared" si="103"/>
        <v>2.5304111539935854E-2</v>
      </c>
      <c r="GE8" s="36">
        <f t="shared" si="104"/>
        <v>8.7134533935529876E-2</v>
      </c>
      <c r="GF8" s="36">
        <f t="shared" si="105"/>
        <v>2.4930137718748014E-2</v>
      </c>
      <c r="GG8" s="36">
        <f t="shared" si="106"/>
        <v>6.1966876889734596E-2</v>
      </c>
      <c r="GH8" s="36">
        <f t="shared" si="107"/>
        <v>0.18861448702600103</v>
      </c>
      <c r="GI8" s="36">
        <f t="shared" si="108"/>
        <v>2.9597443031750322E-2</v>
      </c>
      <c r="GJ8" s="36">
        <f t="shared" si="109"/>
        <v>8.3647613450938268E-2</v>
      </c>
      <c r="GK8" s="36" t="str">
        <f t="shared" si="109"/>
        <v xml:space="preserve"> </v>
      </c>
      <c r="GL8" s="24">
        <f>A23</f>
        <v>31290</v>
      </c>
      <c r="GM8" s="97">
        <f>SUM(B21:B23)</f>
        <v>2365931</v>
      </c>
      <c r="GN8" s="97">
        <f>SUM(C21:C23)</f>
        <v>356445</v>
      </c>
      <c r="GO8" s="5">
        <f t="shared" si="27"/>
        <v>140305</v>
      </c>
      <c r="GP8" s="25" t="e">
        <f t="shared" si="28"/>
        <v>#DIV/0!</v>
      </c>
      <c r="GQ8" s="25" t="e">
        <f t="shared" si="29"/>
        <v>#DIV/0!</v>
      </c>
      <c r="GR8" s="48">
        <f t="shared" si="113"/>
        <v>80476.75</v>
      </c>
      <c r="GS8" s="48"/>
      <c r="GT8" s="48">
        <f t="shared" si="116"/>
        <v>321907</v>
      </c>
      <c r="GU8" s="48"/>
      <c r="GV8" s="75"/>
      <c r="GW8" s="75"/>
      <c r="GX8" s="48"/>
      <c r="GY8" s="48"/>
      <c r="GZ8" s="48"/>
      <c r="HA8" s="48"/>
      <c r="HB8" s="48"/>
      <c r="HC8" s="368">
        <v>6</v>
      </c>
      <c r="HD8" s="369" t="s">
        <v>1517</v>
      </c>
      <c r="HE8" s="376" t="s">
        <v>1550</v>
      </c>
      <c r="HF8" s="371">
        <v>0.02</v>
      </c>
      <c r="HG8" s="377" t="s">
        <v>971</v>
      </c>
      <c r="HH8" s="402">
        <v>0.01</v>
      </c>
      <c r="HI8" s="372">
        <f>HC57</f>
        <v>0.20392192678297064</v>
      </c>
      <c r="HJ8" s="373">
        <v>0.02</v>
      </c>
      <c r="HK8" s="185"/>
    </row>
    <row r="9" spans="1:219" ht="16">
      <c r="A9" s="24">
        <v>30863</v>
      </c>
      <c r="B9" s="25">
        <f t="shared" si="0"/>
        <v>668978</v>
      </c>
      <c r="C9" s="25">
        <f t="shared" si="1"/>
        <v>245285</v>
      </c>
      <c r="D9" s="25">
        <f t="shared" si="110"/>
        <v>394910</v>
      </c>
      <c r="E9" s="25"/>
      <c r="F9" s="25"/>
      <c r="G9" s="25"/>
      <c r="H9" s="25"/>
      <c r="I9" s="25"/>
      <c r="J9" s="25"/>
      <c r="K9" s="25"/>
      <c r="L9" s="25">
        <f t="shared" si="30"/>
        <v>119593</v>
      </c>
      <c r="M9" s="25"/>
      <c r="N9" s="25"/>
      <c r="O9" s="25"/>
      <c r="P9" s="25">
        <f t="shared" si="31"/>
        <v>347835.3593688212</v>
      </c>
      <c r="Q9" s="25">
        <f t="shared" si="32"/>
        <v>-222153.80880728277</v>
      </c>
      <c r="R9" s="25">
        <f t="shared" si="2"/>
        <v>668978</v>
      </c>
      <c r="S9" s="25">
        <f t="shared" si="33"/>
        <v>117970</v>
      </c>
      <c r="T9" s="25">
        <f t="shared" si="34"/>
        <v>1418522.2143234741</v>
      </c>
      <c r="U9" s="25">
        <f t="shared" si="35"/>
        <v>776443.85114146117</v>
      </c>
      <c r="V9" s="25"/>
      <c r="W9" s="25"/>
      <c r="Y9" s="25"/>
      <c r="Z9" s="25"/>
      <c r="AA9" s="22" t="s">
        <v>972</v>
      </c>
      <c r="AB9" s="273">
        <v>245285</v>
      </c>
      <c r="AC9" s="26">
        <v>75078</v>
      </c>
      <c r="AD9" s="26">
        <v>121961</v>
      </c>
      <c r="AE9" s="26">
        <v>145273</v>
      </c>
      <c r="AF9" s="269">
        <v>305512</v>
      </c>
      <c r="AG9" s="26">
        <v>-52693</v>
      </c>
      <c r="AH9" s="26">
        <f t="shared" si="3"/>
        <v>-117540</v>
      </c>
      <c r="AI9" s="26">
        <f>AI52+AF83</f>
        <v>-74391.772500000006</v>
      </c>
      <c r="AJ9" s="277">
        <f>AJ52+AG68</f>
        <v>-351815.72499999998</v>
      </c>
      <c r="AK9" s="26">
        <f t="shared" si="111"/>
        <v>-94919.120999999999</v>
      </c>
      <c r="AL9" s="26">
        <v>-35374</v>
      </c>
      <c r="AM9" s="26">
        <v>180995</v>
      </c>
      <c r="AN9" s="26">
        <v>142412</v>
      </c>
      <c r="AO9" s="26">
        <v>24430</v>
      </c>
      <c r="AP9" s="26">
        <v>-233680</v>
      </c>
      <c r="AQ9" s="26">
        <v>474</v>
      </c>
      <c r="AR9" s="26">
        <v>-372710</v>
      </c>
      <c r="AS9" s="26">
        <v>-349032</v>
      </c>
      <c r="AT9" s="26">
        <v>-110288</v>
      </c>
      <c r="AU9" s="26">
        <v>230657</v>
      </c>
      <c r="AV9" s="26">
        <v>576314</v>
      </c>
      <c r="AW9" s="26">
        <v>140017</v>
      </c>
      <c r="AX9" s="26">
        <v>102285</v>
      </c>
      <c r="AY9" s="26">
        <v>156597</v>
      </c>
      <c r="AZ9" s="26">
        <v>10771</v>
      </c>
      <c r="BA9" s="26">
        <v>57801</v>
      </c>
      <c r="BB9" s="26"/>
      <c r="BC9" s="311">
        <f t="shared" si="36"/>
        <v>0</v>
      </c>
      <c r="BD9" s="26">
        <f t="shared" si="4"/>
        <v>115945.66666666667</v>
      </c>
      <c r="BE9" s="93">
        <f t="shared" si="5"/>
        <v>4745.8381500000014</v>
      </c>
      <c r="BF9" s="27"/>
      <c r="BG9" s="28"/>
      <c r="BH9" s="23" t="s">
        <v>972</v>
      </c>
      <c r="BI9" s="26">
        <f>804151-135173</f>
        <v>668978</v>
      </c>
      <c r="BJ9" s="26">
        <f>274422+240100+165971+581</f>
        <v>681074</v>
      </c>
      <c r="BK9" s="26">
        <v>967042</v>
      </c>
      <c r="BL9" s="26">
        <v>1016436</v>
      </c>
      <c r="BM9" s="26">
        <v>1448492</v>
      </c>
      <c r="BN9" s="26">
        <f>1228649+BK62*0.8</f>
        <v>1247647.3999999999</v>
      </c>
      <c r="BO9" s="29">
        <f>1443623-39085.21+0.8*BL62</f>
        <v>1435805.79</v>
      </c>
      <c r="BP9" s="29">
        <f t="shared" si="6"/>
        <v>1367232.6524</v>
      </c>
      <c r="BQ9" s="29">
        <f t="shared" si="37"/>
        <v>1344517.5632</v>
      </c>
      <c r="BR9" s="29">
        <f t="shared" si="38"/>
        <v>1156060.8970000001</v>
      </c>
      <c r="BS9" s="29">
        <v>998754</v>
      </c>
      <c r="BT9" s="26">
        <v>1012575</v>
      </c>
      <c r="BU9" s="26">
        <v>1118487</v>
      </c>
      <c r="BV9" s="26">
        <v>1248088</v>
      </c>
      <c r="BW9" s="26">
        <v>846052</v>
      </c>
      <c r="BX9" s="26">
        <v>1408622</v>
      </c>
      <c r="BY9" s="26">
        <v>1013194</v>
      </c>
      <c r="BZ9" s="26">
        <v>1018459</v>
      </c>
      <c r="CA9" s="26">
        <v>1318819</v>
      </c>
      <c r="CB9" s="26">
        <v>1828259</v>
      </c>
      <c r="CC9" s="26">
        <v>2615911</v>
      </c>
      <c r="CD9" s="26">
        <v>1866935</v>
      </c>
      <c r="CE9" s="777">
        <v>2053084</v>
      </c>
      <c r="CF9" s="777">
        <v>2048726</v>
      </c>
      <c r="CG9" s="777">
        <v>1821719</v>
      </c>
      <c r="CH9" s="777">
        <v>1832006</v>
      </c>
      <c r="CI9" s="777"/>
      <c r="CJ9" s="650">
        <f t="shared" si="39"/>
        <v>-9.3137808672941746E-3</v>
      </c>
      <c r="CK9" s="89">
        <f t="shared" si="7"/>
        <v>1260474.1805199999</v>
      </c>
      <c r="CL9" s="90">
        <f t="shared" si="8"/>
        <v>1152330.6638727272</v>
      </c>
      <c r="CM9" s="35" t="s">
        <v>972</v>
      </c>
      <c r="CN9" s="36">
        <f t="shared" si="9"/>
        <v>0.36665630259888965</v>
      </c>
      <c r="CO9" s="36">
        <f t="shared" si="10"/>
        <v>0.11023471751968215</v>
      </c>
      <c r="CP9" s="36">
        <f t="shared" si="11"/>
        <v>0.1261175833107559</v>
      </c>
      <c r="CQ9" s="36">
        <f t="shared" si="12"/>
        <v>0.14292390273465325</v>
      </c>
      <c r="CR9" s="36">
        <f t="shared" si="13"/>
        <v>0.2109172850108941</v>
      </c>
      <c r="CS9" s="36">
        <f t="shared" si="14"/>
        <v>-4.2233887555089687E-2</v>
      </c>
      <c r="CT9" s="37">
        <f t="shared" si="15"/>
        <v>-8.1863439205103083E-2</v>
      </c>
      <c r="CU9" s="37">
        <f t="shared" si="40"/>
        <v>-5.4410470938808311E-2</v>
      </c>
      <c r="CV9" s="77">
        <f t="shared" si="41"/>
        <v>-0.26166688679221561</v>
      </c>
      <c r="CW9" s="77">
        <f t="shared" si="42"/>
        <v>-8.2105641014514813E-2</v>
      </c>
      <c r="CX9" s="77">
        <f t="shared" si="43"/>
        <v>-3.5418130991215054E-2</v>
      </c>
      <c r="CY9" s="77">
        <f t="shared" si="44"/>
        <v>0.17874725328987975</v>
      </c>
      <c r="CZ9" s="77">
        <f t="shared" si="45"/>
        <v>0.12732557463788136</v>
      </c>
      <c r="DA9" s="77">
        <f t="shared" si="46"/>
        <v>1.9573940299081476E-2</v>
      </c>
      <c r="DB9" s="77">
        <f t="shared" si="47"/>
        <v>-0.27620051722589156</v>
      </c>
      <c r="DC9" s="77">
        <f t="shared" si="48"/>
        <v>3.3649907498250066E-4</v>
      </c>
      <c r="DD9" s="77">
        <f t="shared" si="49"/>
        <v>-0.36785650132156328</v>
      </c>
      <c r="DE9" s="77">
        <f t="shared" si="50"/>
        <v>-0.34270599012822311</v>
      </c>
      <c r="DF9" s="77">
        <f t="shared" si="51"/>
        <v>-8.3626335380366831E-2</v>
      </c>
      <c r="DG9" s="77">
        <f t="shared" si="17"/>
        <v>0.12616210285304216</v>
      </c>
      <c r="DH9" s="77">
        <f t="shared" si="18"/>
        <v>0.2203110121101215</v>
      </c>
      <c r="DI9" s="77">
        <f t="shared" si="19"/>
        <v>7.4998326133475457E-2</v>
      </c>
      <c r="DJ9" s="77">
        <f t="shared" si="20"/>
        <v>4.9820172969055332E-2</v>
      </c>
      <c r="DK9" s="77" t="str">
        <f t="shared" si="21"/>
        <v/>
      </c>
      <c r="DL9" s="22" t="s">
        <v>972</v>
      </c>
      <c r="DM9" s="26">
        <f t="shared" si="52"/>
        <v>416859</v>
      </c>
      <c r="DN9" s="26">
        <f t="shared" si="53"/>
        <v>165088</v>
      </c>
      <c r="DO9" s="26">
        <f t="shared" si="54"/>
        <v>527676</v>
      </c>
      <c r="DP9" s="26">
        <f t="shared" si="55"/>
        <v>61555</v>
      </c>
      <c r="DQ9" s="26">
        <f t="shared" si="56"/>
        <v>637957</v>
      </c>
      <c r="DR9" s="26">
        <f t="shared" si="57"/>
        <v>250236.29000000004</v>
      </c>
      <c r="DS9" s="26">
        <f t="shared" si="58"/>
        <v>-317254.11999999994</v>
      </c>
      <c r="DT9" s="26">
        <f t="shared" si="59"/>
        <v>-886650.65100000007</v>
      </c>
      <c r="DU9" s="26">
        <f t="shared" si="60"/>
        <v>-497889.89199999999</v>
      </c>
      <c r="DV9" s="26">
        <f t="shared" si="61"/>
        <v>-340087.10800000001</v>
      </c>
      <c r="DW9" s="26">
        <f t="shared" si="62"/>
        <v>-582058</v>
      </c>
      <c r="DX9" s="26">
        <f t="shared" si="63"/>
        <v>830978</v>
      </c>
      <c r="DY9" s="26">
        <f t="shared" si="64"/>
        <v>1298646</v>
      </c>
      <c r="DZ9" s="26">
        <f t="shared" si="65"/>
        <v>1859849</v>
      </c>
      <c r="EA9" s="26">
        <f t="shared" si="66"/>
        <v>741490</v>
      </c>
      <c r="EB9" s="26">
        <f t="shared" si="67"/>
        <v>689965</v>
      </c>
      <c r="EC9" s="26">
        <f t="shared" si="114"/>
        <v>-185366</v>
      </c>
      <c r="ED9" s="26">
        <f t="shared" si="115"/>
        <v>332865</v>
      </c>
      <c r="EE9" s="26">
        <f t="shared" si="68"/>
        <v>99761</v>
      </c>
      <c r="EF9" s="26">
        <f t="shared" si="69"/>
        <v>802476</v>
      </c>
      <c r="EG9" s="26">
        <f t="shared" si="70"/>
        <v>2909906</v>
      </c>
      <c r="EH9" s="26">
        <f t="shared" si="71"/>
        <v>443982</v>
      </c>
      <c r="EI9" s="26">
        <f t="shared" si="72"/>
        <v>1058540</v>
      </c>
      <c r="EJ9" s="26" t="str">
        <f t="shared" si="73"/>
        <v/>
      </c>
      <c r="EK9" s="360">
        <f t="shared" si="74"/>
        <v>1329824.3333333333</v>
      </c>
      <c r="EL9" s="359">
        <f t="shared" si="23"/>
        <v>292887.6349</v>
      </c>
      <c r="EM9" s="93">
        <f t="shared" si="75"/>
        <v>-127390.609</v>
      </c>
      <c r="EN9" s="404" t="s">
        <v>972</v>
      </c>
      <c r="EO9" s="33">
        <f t="shared" si="117"/>
        <v>2944163</v>
      </c>
      <c r="EP9" s="33">
        <f t="shared" si="117"/>
        <v>3774796.7199999997</v>
      </c>
      <c r="EQ9" s="33">
        <f t="shared" si="117"/>
        <v>5956304</v>
      </c>
      <c r="ER9" s="33">
        <f t="shared" si="117"/>
        <v>6928109</v>
      </c>
      <c r="ES9" s="33">
        <f t="shared" si="117"/>
        <v>9092876</v>
      </c>
      <c r="ET9" s="33">
        <f t="shared" si="118"/>
        <v>9357825.5500000007</v>
      </c>
      <c r="EU9" s="34">
        <f t="shared" si="118"/>
        <v>9632365.9499999993</v>
      </c>
      <c r="EV9" s="34">
        <f t="shared" si="118"/>
        <v>9628218.7819999997</v>
      </c>
      <c r="EW9" s="34">
        <f t="shared" si="118"/>
        <v>8992499.1439999994</v>
      </c>
      <c r="EX9" s="34">
        <f t="shared" ref="EX9:EY11" si="121">IF(BR9&gt;0,EX8+BR9,ET22)</f>
        <v>7194814.4609999992</v>
      </c>
      <c r="EY9" s="34">
        <f t="shared" si="121"/>
        <v>6803213</v>
      </c>
      <c r="EZ9" s="34">
        <f t="shared" si="77"/>
        <v>6859323</v>
      </c>
      <c r="FA9" s="34">
        <f t="shared" si="78"/>
        <v>7707247</v>
      </c>
      <c r="FB9" s="34">
        <f t="shared" si="79"/>
        <v>9447112</v>
      </c>
      <c r="FC9" s="34">
        <f t="shared" si="80"/>
        <v>8573413</v>
      </c>
      <c r="FD9" s="34">
        <f t="shared" si="81"/>
        <v>8392852</v>
      </c>
      <c r="FE9" s="34">
        <f t="shared" si="82"/>
        <v>8416892</v>
      </c>
      <c r="FF9" s="34">
        <f t="shared" si="83"/>
        <v>8844254</v>
      </c>
      <c r="FG9" s="34">
        <f t="shared" si="84"/>
        <v>9744324</v>
      </c>
      <c r="FH9" s="34">
        <f t="shared" si="119"/>
        <v>11056076</v>
      </c>
      <c r="FI9" s="34">
        <f t="shared" si="119"/>
        <v>14988195</v>
      </c>
      <c r="FJ9" s="34">
        <f t="shared" si="119"/>
        <v>12136910</v>
      </c>
      <c r="FK9" s="34">
        <f t="shared" si="119"/>
        <v>13485030</v>
      </c>
      <c r="FL9" s="34" t="str">
        <f t="shared" si="86"/>
        <v xml:space="preserve"> </v>
      </c>
      <c r="FM9" s="35" t="s">
        <v>972</v>
      </c>
      <c r="FN9" s="36">
        <f t="shared" si="87"/>
        <v>0.14158828842017238</v>
      </c>
      <c r="FO9" s="36">
        <f t="shared" si="88"/>
        <v>4.3734275577096512E-2</v>
      </c>
      <c r="FP9" s="36">
        <f t="shared" si="89"/>
        <v>8.8591180033792766E-2</v>
      </c>
      <c r="FQ9" s="36">
        <f t="shared" si="90"/>
        <v>8.8848197971481101E-3</v>
      </c>
      <c r="FR9" s="36">
        <f t="shared" si="91"/>
        <v>7.0160090162892361E-2</v>
      </c>
      <c r="FS9" s="36">
        <f t="shared" si="92"/>
        <v>2.6740858617523601E-2</v>
      </c>
      <c r="FT9" s="36">
        <f t="shared" si="93"/>
        <v>-3.2936261106234231E-2</v>
      </c>
      <c r="FU9" s="36">
        <f t="shared" si="94"/>
        <v>-9.2088751935882229E-2</v>
      </c>
      <c r="FV9" s="36">
        <f t="shared" si="95"/>
        <v>-5.5367243746940305E-2</v>
      </c>
      <c r="FW9" s="36">
        <f t="shared" si="96"/>
        <v>-4.7268363881162775E-2</v>
      </c>
      <c r="FX9" s="36">
        <f t="shared" si="97"/>
        <v>-8.5556339335546308E-2</v>
      </c>
      <c r="FY9" s="36">
        <f t="shared" si="98"/>
        <v>0.12114577488186516</v>
      </c>
      <c r="FZ9" s="36">
        <f t="shared" si="99"/>
        <v>0.16849674079473514</v>
      </c>
      <c r="GA9" s="36">
        <f t="shared" si="100"/>
        <v>0.19686958300060378</v>
      </c>
      <c r="GB9" s="36">
        <f t="shared" si="101"/>
        <v>8.6487143451505252E-2</v>
      </c>
      <c r="GC9" s="36">
        <f t="shared" si="102"/>
        <v>8.2208646119340603E-2</v>
      </c>
      <c r="GD9" s="36">
        <f t="shared" si="103"/>
        <v>-2.2023093559950632E-2</v>
      </c>
      <c r="GE9" s="36">
        <f t="shared" si="104"/>
        <v>3.7636300359532866E-2</v>
      </c>
      <c r="GF9" s="36">
        <f t="shared" si="105"/>
        <v>1.0237857443984826E-2</v>
      </c>
      <c r="GG9" s="36">
        <f t="shared" si="106"/>
        <v>7.2582352002645428E-2</v>
      </c>
      <c r="GH9" s="36">
        <f t="shared" si="107"/>
        <v>0.19414652664980672</v>
      </c>
      <c r="GI9" s="36">
        <f t="shared" si="108"/>
        <v>3.6581139680528237E-2</v>
      </c>
      <c r="GJ9" s="36">
        <f t="shared" si="109"/>
        <v>7.8497415281983063E-2</v>
      </c>
      <c r="GK9" s="36" t="str">
        <f t="shared" si="109"/>
        <v xml:space="preserve"> </v>
      </c>
      <c r="GL9" s="24">
        <f>A26</f>
        <v>31381</v>
      </c>
      <c r="GM9" s="97">
        <f>SUM(B24:B26)</f>
        <v>2433592</v>
      </c>
      <c r="GN9" s="97">
        <f>SUM(C24:C26)</f>
        <v>255522</v>
      </c>
      <c r="GO9" s="5">
        <f t="shared" si="27"/>
        <v>100923</v>
      </c>
      <c r="GP9" s="25" t="e">
        <f t="shared" si="28"/>
        <v>#DIV/0!</v>
      </c>
      <c r="GQ9" s="25" t="e">
        <f t="shared" si="29"/>
        <v>#DIV/0!</v>
      </c>
      <c r="GR9" s="48">
        <f t="shared" si="113"/>
        <v>175494.25</v>
      </c>
      <c r="GS9" s="48">
        <f t="shared" ref="GS9:GS14" si="122">GR5</f>
        <v>159450.5</v>
      </c>
      <c r="GT9" s="48">
        <f t="shared" si="116"/>
        <v>701977</v>
      </c>
      <c r="GU9" s="48">
        <f t="shared" ref="GU9:GU14" si="123">GT5</f>
        <v>0</v>
      </c>
      <c r="GV9" s="75">
        <f t="shared" ref="GV9:GV14" si="124">SUM(GN6:GN9)</f>
        <v>701977</v>
      </c>
      <c r="GW9" s="75"/>
      <c r="GX9" s="48">
        <f t="shared" ref="GX9:GX14" si="125">GV9-GW9</f>
        <v>701977</v>
      </c>
      <c r="GY9" s="48"/>
      <c r="GZ9" s="75">
        <f t="shared" ref="GZ9:GZ14" si="126">SUM(GM6:GM9)</f>
        <v>7893245.7199999997</v>
      </c>
      <c r="HA9" s="157">
        <f t="shared" ref="HA9:HA14" si="127">GV9/GZ9</f>
        <v>8.8933884095527688E-2</v>
      </c>
      <c r="HC9" s="368">
        <v>7</v>
      </c>
      <c r="HD9" s="369" t="s">
        <v>1517</v>
      </c>
      <c r="HE9" s="376" t="s">
        <v>1549</v>
      </c>
      <c r="HF9" s="371">
        <v>0.02</v>
      </c>
      <c r="HG9" s="377" t="s">
        <v>498</v>
      </c>
      <c r="HH9" s="402">
        <v>0.01</v>
      </c>
      <c r="HI9" s="610">
        <f>HI8</f>
        <v>0.20392192678297064</v>
      </c>
      <c r="HJ9" s="380" t="s">
        <v>1412</v>
      </c>
    </row>
    <row r="10" spans="1:219" ht="16">
      <c r="A10" s="24">
        <v>30894</v>
      </c>
      <c r="B10" s="25">
        <f t="shared" si="0"/>
        <v>641074</v>
      </c>
      <c r="C10" s="25">
        <f t="shared" si="1"/>
        <v>137223</v>
      </c>
      <c r="D10" s="25">
        <f t="shared" si="110"/>
        <v>508200</v>
      </c>
      <c r="E10" s="25"/>
      <c r="F10" s="25"/>
      <c r="G10" s="25"/>
      <c r="H10" s="25"/>
      <c r="I10" s="25"/>
      <c r="J10" s="25"/>
      <c r="K10" s="25"/>
      <c r="L10" s="25">
        <f t="shared" si="30"/>
        <v>108062</v>
      </c>
      <c r="M10" s="25"/>
      <c r="N10" s="25"/>
      <c r="O10" s="25"/>
      <c r="P10" s="25">
        <f t="shared" si="31"/>
        <v>347835.3593688212</v>
      </c>
      <c r="Q10" s="25">
        <f t="shared" si="32"/>
        <v>-222153.80880728277</v>
      </c>
      <c r="R10" s="25">
        <f t="shared" si="2"/>
        <v>641074</v>
      </c>
      <c r="S10" s="25">
        <f t="shared" si="33"/>
        <v>27904</v>
      </c>
      <c r="T10" s="25">
        <f t="shared" si="34"/>
        <v>1418522.2143234741</v>
      </c>
      <c r="U10" s="25">
        <f t="shared" si="35"/>
        <v>776443.85114146117</v>
      </c>
      <c r="V10" s="25"/>
      <c r="W10" s="25"/>
      <c r="Y10" s="25"/>
      <c r="Z10" s="25"/>
      <c r="AA10" s="22" t="s">
        <v>740</v>
      </c>
      <c r="AB10" s="273">
        <v>137223</v>
      </c>
      <c r="AC10" s="26">
        <v>104270</v>
      </c>
      <c r="AD10" s="26">
        <v>141798</v>
      </c>
      <c r="AE10" s="26">
        <v>116123</v>
      </c>
      <c r="AF10" s="269">
        <v>78633</v>
      </c>
      <c r="AG10" s="26">
        <v>32240</v>
      </c>
      <c r="AH10" s="26">
        <f t="shared" si="3"/>
        <v>140168</v>
      </c>
      <c r="AI10" s="26">
        <f>AI53+AF84</f>
        <v>291550.50800000003</v>
      </c>
      <c r="AJ10" s="277">
        <f>AJ53+AG69</f>
        <v>40817.625000000015</v>
      </c>
      <c r="AK10" s="26">
        <f t="shared" si="111"/>
        <v>29799.624</v>
      </c>
      <c r="AL10" s="26">
        <v>-110384</v>
      </c>
      <c r="AM10" s="26">
        <v>87008</v>
      </c>
      <c r="AN10" s="26">
        <v>157284</v>
      </c>
      <c r="AO10" s="26">
        <v>195482</v>
      </c>
      <c r="AP10" s="26">
        <v>-251911</v>
      </c>
      <c r="AQ10" s="26">
        <v>231979</v>
      </c>
      <c r="AR10" s="26">
        <v>-126302</v>
      </c>
      <c r="AS10" s="26">
        <v>44364</v>
      </c>
      <c r="AT10" s="26">
        <v>-102358</v>
      </c>
      <c r="AU10" s="26">
        <v>114891</v>
      </c>
      <c r="AV10" s="26">
        <v>433317</v>
      </c>
      <c r="AW10" s="26">
        <v>433882</v>
      </c>
      <c r="AX10" s="26">
        <v>421137</v>
      </c>
      <c r="AY10" s="26">
        <v>598697</v>
      </c>
      <c r="AZ10" s="26">
        <v>400088</v>
      </c>
      <c r="BA10" s="26">
        <v>15943</v>
      </c>
      <c r="BB10" s="26"/>
      <c r="BC10" s="311">
        <f t="shared" si="36"/>
        <v>0</v>
      </c>
      <c r="BD10" s="26">
        <f t="shared" si="4"/>
        <v>146591.33333333334</v>
      </c>
      <c r="BE10" s="93">
        <f t="shared" si="5"/>
        <v>86323.975699999995</v>
      </c>
      <c r="BF10" s="27"/>
      <c r="BG10" s="28"/>
      <c r="BH10" s="23" t="s">
        <v>740</v>
      </c>
      <c r="BI10" s="26">
        <f>695038-53964</f>
        <v>641074</v>
      </c>
      <c r="BJ10" s="26">
        <f>631206+71100+114664+76</f>
        <v>817046</v>
      </c>
      <c r="BK10" s="26">
        <v>1074697</v>
      </c>
      <c r="BL10" s="26">
        <v>1172276</v>
      </c>
      <c r="BM10" s="26">
        <v>1576011</v>
      </c>
      <c r="BN10" s="26">
        <f>1228649+BH63*0.8</f>
        <v>1243845</v>
      </c>
      <c r="BO10" s="29">
        <f>1739445-75168+0.8*BI63</f>
        <v>1724411.4</v>
      </c>
      <c r="BP10" s="29">
        <f>BM47+BJ63*0.8</f>
        <v>1634733.6044000001</v>
      </c>
      <c r="BQ10" s="29">
        <f t="shared" si="37"/>
        <v>1199828.2047999999</v>
      </c>
      <c r="BR10" s="29">
        <f t="shared" si="38"/>
        <v>1053861.727</v>
      </c>
      <c r="BS10" s="29">
        <v>926298</v>
      </c>
      <c r="BT10" s="26">
        <v>922523</v>
      </c>
      <c r="BU10" s="26">
        <v>1191666</v>
      </c>
      <c r="BV10" s="26">
        <v>1384930</v>
      </c>
      <c r="BW10" s="26">
        <v>816063</v>
      </c>
      <c r="BX10" s="26">
        <v>1384765</v>
      </c>
      <c r="BY10" s="26">
        <v>1043654</v>
      </c>
      <c r="BZ10" s="26">
        <v>1238279</v>
      </c>
      <c r="CA10" s="26">
        <v>1474138</v>
      </c>
      <c r="CB10" s="26">
        <v>1806018</v>
      </c>
      <c r="CC10" s="26">
        <v>2459366</v>
      </c>
      <c r="CD10" s="26">
        <v>2111874</v>
      </c>
      <c r="CE10" s="777">
        <v>2079675</v>
      </c>
      <c r="CF10" s="777">
        <v>2378711</v>
      </c>
      <c r="CG10" s="777">
        <v>2340680</v>
      </c>
      <c r="CH10" s="777">
        <v>1968734</v>
      </c>
      <c r="CI10" s="777"/>
      <c r="CJ10" s="650">
        <f t="shared" si="39"/>
        <v>-4.9124044413269563E-2</v>
      </c>
      <c r="CK10" s="89">
        <f t="shared" si="7"/>
        <v>1307826.58724</v>
      </c>
      <c r="CL10" s="90">
        <f t="shared" si="8"/>
        <v>1213230.0851090909</v>
      </c>
      <c r="CM10" s="35" t="s">
        <v>740</v>
      </c>
      <c r="CN10" s="36">
        <f t="shared" si="9"/>
        <v>0.21405173193734264</v>
      </c>
      <c r="CO10" s="36">
        <f t="shared" si="10"/>
        <v>0.12761827363453221</v>
      </c>
      <c r="CP10" s="36">
        <f t="shared" si="11"/>
        <v>0.13194230559869433</v>
      </c>
      <c r="CQ10" s="36">
        <f t="shared" si="12"/>
        <v>9.9057730432082547E-2</v>
      </c>
      <c r="CR10" s="36">
        <f t="shared" si="13"/>
        <v>4.9893687290253688E-2</v>
      </c>
      <c r="CS10" s="36">
        <f t="shared" si="14"/>
        <v>2.5919628249500542E-2</v>
      </c>
      <c r="CT10" s="37">
        <f t="shared" si="15"/>
        <v>8.1284547295384382E-2</v>
      </c>
      <c r="CU10" s="37">
        <f t="shared" si="40"/>
        <v>0.17834741221155018</v>
      </c>
      <c r="CV10" s="77">
        <f t="shared" si="41"/>
        <v>3.4019557830617865E-2</v>
      </c>
      <c r="CW10" s="77">
        <f t="shared" si="42"/>
        <v>2.8276597618579237E-2</v>
      </c>
      <c r="CX10" s="77">
        <f t="shared" si="43"/>
        <v>-0.11916683399942567</v>
      </c>
      <c r="CY10" s="77">
        <f t="shared" si="44"/>
        <v>9.4315263684482661E-2</v>
      </c>
      <c r="CZ10" s="77">
        <f t="shared" si="45"/>
        <v>0.13198664726525722</v>
      </c>
      <c r="DA10" s="77">
        <f t="shared" si="46"/>
        <v>0.14114937217043461</v>
      </c>
      <c r="DB10" s="77">
        <f t="shared" si="47"/>
        <v>-0.30869062805200087</v>
      </c>
      <c r="DC10" s="77">
        <f t="shared" si="48"/>
        <v>0.16752228717508025</v>
      </c>
      <c r="DD10" s="77">
        <f t="shared" si="49"/>
        <v>-0.12101903504418131</v>
      </c>
      <c r="DE10" s="77">
        <f t="shared" si="50"/>
        <v>3.5827143963517105E-2</v>
      </c>
      <c r="DF10" s="77">
        <f t="shared" si="51"/>
        <v>-6.9435833008849923E-2</v>
      </c>
      <c r="DG10" s="77">
        <f t="shared" si="17"/>
        <v>6.3615645026793746E-2</v>
      </c>
      <c r="DH10" s="77">
        <f t="shared" si="18"/>
        <v>0.17619053040499055</v>
      </c>
      <c r="DI10" s="77">
        <f t="shared" si="19"/>
        <v>0.20544880991953118</v>
      </c>
      <c r="DJ10" s="77">
        <f t="shared" si="20"/>
        <v>0.2025013523747701</v>
      </c>
      <c r="DK10" s="77" t="str">
        <f t="shared" si="21"/>
        <v/>
      </c>
      <c r="DL10" s="22" t="s">
        <v>740</v>
      </c>
      <c r="DM10" s="26">
        <f t="shared" si="52"/>
        <v>554082</v>
      </c>
      <c r="DN10" s="26">
        <f t="shared" si="53"/>
        <v>269358</v>
      </c>
      <c r="DO10" s="26">
        <f t="shared" si="54"/>
        <v>669474</v>
      </c>
      <c r="DP10" s="26">
        <f t="shared" si="55"/>
        <v>177678</v>
      </c>
      <c r="DQ10" s="26">
        <f t="shared" si="56"/>
        <v>716590</v>
      </c>
      <c r="DR10" s="26">
        <f t="shared" si="57"/>
        <v>282476.29000000004</v>
      </c>
      <c r="DS10" s="26">
        <f t="shared" si="58"/>
        <v>-177086.11999999994</v>
      </c>
      <c r="DT10" s="26">
        <f t="shared" si="59"/>
        <v>-595100.14300000004</v>
      </c>
      <c r="DU10" s="26">
        <f t="shared" si="60"/>
        <v>-457072.26699999999</v>
      </c>
      <c r="DV10" s="26">
        <f t="shared" si="61"/>
        <v>-310287.484</v>
      </c>
      <c r="DW10" s="26">
        <f t="shared" si="62"/>
        <v>-692442</v>
      </c>
      <c r="DX10" s="26">
        <f t="shared" si="63"/>
        <v>917986</v>
      </c>
      <c r="DY10" s="26">
        <f t="shared" si="64"/>
        <v>1455930</v>
      </c>
      <c r="DZ10" s="26">
        <f t="shared" si="65"/>
        <v>2055331</v>
      </c>
      <c r="EA10" s="26">
        <f t="shared" si="66"/>
        <v>489579</v>
      </c>
      <c r="EB10" s="26">
        <f t="shared" si="67"/>
        <v>921944</v>
      </c>
      <c r="EC10" s="26">
        <f t="shared" si="114"/>
        <v>-311668</v>
      </c>
      <c r="ED10" s="26">
        <f t="shared" si="115"/>
        <v>377229</v>
      </c>
      <c r="EE10" s="26">
        <f t="shared" si="68"/>
        <v>-2597</v>
      </c>
      <c r="EF10" s="26">
        <f t="shared" si="69"/>
        <v>917367</v>
      </c>
      <c r="EG10" s="26">
        <f t="shared" si="70"/>
        <v>3343223</v>
      </c>
      <c r="EH10" s="26">
        <f t="shared" si="71"/>
        <v>877864</v>
      </c>
      <c r="EI10" s="26">
        <f t="shared" si="72"/>
        <v>1479677</v>
      </c>
      <c r="EJ10" s="26" t="str">
        <f t="shared" si="73"/>
        <v/>
      </c>
      <c r="EK10" s="360">
        <f t="shared" si="74"/>
        <v>1476415.6666666667</v>
      </c>
      <c r="EL10" s="359">
        <f t="shared" si="23"/>
        <v>347420.01059999998</v>
      </c>
      <c r="EM10" s="93">
        <f t="shared" si="75"/>
        <v>-42863.302666666641</v>
      </c>
      <c r="EN10" s="404" t="s">
        <v>740</v>
      </c>
      <c r="EO10" s="33">
        <f t="shared" si="117"/>
        <v>3585237</v>
      </c>
      <c r="EP10" s="33">
        <f t="shared" si="117"/>
        <v>4591842.72</v>
      </c>
      <c r="EQ10" s="33">
        <f t="shared" si="117"/>
        <v>7031001</v>
      </c>
      <c r="ER10" s="33">
        <f t="shared" si="117"/>
        <v>8100385</v>
      </c>
      <c r="ES10" s="33">
        <f t="shared" si="117"/>
        <v>10668887</v>
      </c>
      <c r="ET10" s="33">
        <f t="shared" si="118"/>
        <v>10601670.550000001</v>
      </c>
      <c r="EU10" s="34">
        <f t="shared" si="118"/>
        <v>11356777.35</v>
      </c>
      <c r="EV10" s="34">
        <f t="shared" si="118"/>
        <v>11262952.386399999</v>
      </c>
      <c r="EW10" s="34">
        <f t="shared" si="118"/>
        <v>10192327.3488</v>
      </c>
      <c r="EX10" s="34">
        <f t="shared" si="121"/>
        <v>8248676.1879999992</v>
      </c>
      <c r="EY10" s="34">
        <f t="shared" si="121"/>
        <v>7729511</v>
      </c>
      <c r="EZ10" s="34">
        <f t="shared" si="77"/>
        <v>7781846</v>
      </c>
      <c r="FA10" s="34">
        <f t="shared" si="78"/>
        <v>8898913</v>
      </c>
      <c r="FB10" s="34">
        <f t="shared" si="79"/>
        <v>10832042</v>
      </c>
      <c r="FC10" s="34">
        <f t="shared" si="80"/>
        <v>9389476</v>
      </c>
      <c r="FD10" s="34">
        <f t="shared" si="81"/>
        <v>9777617</v>
      </c>
      <c r="FE10" s="34">
        <f t="shared" si="82"/>
        <v>9460546</v>
      </c>
      <c r="FF10" s="649">
        <f t="shared" si="83"/>
        <v>10082533</v>
      </c>
      <c r="FG10" s="34">
        <f t="shared" si="84"/>
        <v>11218462</v>
      </c>
      <c r="FH10" s="34">
        <f t="shared" si="119"/>
        <v>12862094</v>
      </c>
      <c r="FI10" s="34">
        <f t="shared" si="119"/>
        <v>17447561</v>
      </c>
      <c r="FJ10" s="34">
        <f t="shared" si="119"/>
        <v>14248784</v>
      </c>
      <c r="FK10" s="34">
        <f t="shared" si="119"/>
        <v>15564705</v>
      </c>
      <c r="FL10" s="34" t="str">
        <f t="shared" si="86"/>
        <v xml:space="preserve"> </v>
      </c>
      <c r="FM10" s="35" t="s">
        <v>740</v>
      </c>
      <c r="FN10" s="36">
        <f t="shared" si="87"/>
        <v>0.15454543172459728</v>
      </c>
      <c r="FO10" s="36">
        <f t="shared" si="88"/>
        <v>5.8660110205168356E-2</v>
      </c>
      <c r="FP10" s="36">
        <f t="shared" si="89"/>
        <v>9.5217451967365668E-2</v>
      </c>
      <c r="FQ10" s="36">
        <f t="shared" si="90"/>
        <v>2.1934512989197429E-2</v>
      </c>
      <c r="FR10" s="36">
        <f t="shared" si="91"/>
        <v>6.7166331408327784E-2</v>
      </c>
      <c r="FS10" s="36">
        <f t="shared" si="92"/>
        <v>2.6644507454535081E-2</v>
      </c>
      <c r="FT10" s="36">
        <f t="shared" si="93"/>
        <v>-1.5592990382962817E-2</v>
      </c>
      <c r="FU10" s="36">
        <f t="shared" si="94"/>
        <v>-5.2836958071365257E-2</v>
      </c>
      <c r="FV10" s="36">
        <f t="shared" si="95"/>
        <v>-4.4844739710387507E-2</v>
      </c>
      <c r="FW10" s="36">
        <f t="shared" si="96"/>
        <v>-3.7616640164806044E-2</v>
      </c>
      <c r="FX10" s="36">
        <f t="shared" si="97"/>
        <v>-8.9584192324714984E-2</v>
      </c>
      <c r="FY10" s="36">
        <f t="shared" si="98"/>
        <v>0.11796506895664602</v>
      </c>
      <c r="FZ10" s="36">
        <f t="shared" si="99"/>
        <v>0.16360762263885489</v>
      </c>
      <c r="GA10" s="36">
        <f t="shared" si="100"/>
        <v>0.18974547919958212</v>
      </c>
      <c r="GB10" s="36">
        <f t="shared" si="101"/>
        <v>5.2141248350813185E-2</v>
      </c>
      <c r="GC10" s="36">
        <f t="shared" si="102"/>
        <v>9.4291277721350708E-2</v>
      </c>
      <c r="GD10" s="36">
        <f t="shared" si="103"/>
        <v>-3.2943975960795499E-2</v>
      </c>
      <c r="GE10" s="36">
        <f t="shared" si="104"/>
        <v>3.7414110124906114E-2</v>
      </c>
      <c r="GF10" s="36">
        <f t="shared" si="105"/>
        <v>-2.3149340791990916E-4</v>
      </c>
      <c r="GG10" s="36">
        <f t="shared" si="106"/>
        <v>7.1323300855988148E-2</v>
      </c>
      <c r="GH10" s="36">
        <f t="shared" si="107"/>
        <v>0.19161549284739568</v>
      </c>
      <c r="GI10" s="36">
        <f t="shared" si="108"/>
        <v>6.160974859328347E-2</v>
      </c>
      <c r="GJ10" s="36">
        <f t="shared" si="109"/>
        <v>9.5066176968982063E-2</v>
      </c>
      <c r="GK10" s="36" t="str">
        <f t="shared" si="109"/>
        <v xml:space="preserve"> </v>
      </c>
      <c r="GL10" s="24">
        <f>A29</f>
        <v>31471</v>
      </c>
      <c r="GM10" s="97">
        <f>SUM(B27:B29)</f>
        <v>2223731</v>
      </c>
      <c r="GN10" s="97">
        <f>SUM(C27:C29)</f>
        <v>215858</v>
      </c>
      <c r="GO10" s="5">
        <f t="shared" si="27"/>
        <v>39664</v>
      </c>
      <c r="GP10" s="25" t="e">
        <f t="shared" si="28"/>
        <v>#DIV/0!</v>
      </c>
      <c r="GQ10" s="25" t="e">
        <f t="shared" si="29"/>
        <v>#DIV/0!</v>
      </c>
      <c r="GR10" s="48">
        <f t="shared" si="113"/>
        <v>260991.25</v>
      </c>
      <c r="GS10" s="48">
        <f t="shared" si="122"/>
        <v>93920.25</v>
      </c>
      <c r="GT10" s="48">
        <f t="shared" si="116"/>
        <v>1043965</v>
      </c>
      <c r="GU10" s="48">
        <f t="shared" si="123"/>
        <v>375681</v>
      </c>
      <c r="GV10" s="75">
        <f t="shared" si="124"/>
        <v>1043965</v>
      </c>
      <c r="GW10" s="75"/>
      <c r="GX10" s="48">
        <f t="shared" si="125"/>
        <v>1043965</v>
      </c>
      <c r="GY10" s="48"/>
      <c r="GZ10" s="75">
        <f t="shared" si="126"/>
        <v>8891815</v>
      </c>
      <c r="HA10" s="157">
        <f t="shared" si="127"/>
        <v>0.11740741344708588</v>
      </c>
      <c r="HC10" s="368">
        <v>8</v>
      </c>
      <c r="HD10" s="369" t="s">
        <v>1551</v>
      </c>
      <c r="HE10" s="376" t="s">
        <v>1338</v>
      </c>
      <c r="HF10" s="371">
        <v>0.02</v>
      </c>
      <c r="HG10" s="377" t="s">
        <v>386</v>
      </c>
      <c r="HH10" s="402">
        <v>0.01</v>
      </c>
      <c r="HI10" s="377"/>
      <c r="HJ10" s="380" t="s">
        <v>1412</v>
      </c>
    </row>
    <row r="11" spans="1:219" ht="16">
      <c r="A11" s="24">
        <v>30925</v>
      </c>
      <c r="B11" s="25">
        <f t="shared" si="0"/>
        <v>608257</v>
      </c>
      <c r="C11" s="25">
        <f t="shared" si="1"/>
        <v>208268</v>
      </c>
      <c r="D11" s="25">
        <f t="shared" si="110"/>
        <v>590776</v>
      </c>
      <c r="E11" s="25"/>
      <c r="F11" s="25"/>
      <c r="G11" s="25"/>
      <c r="H11" s="25"/>
      <c r="I11" s="25"/>
      <c r="J11" s="25"/>
      <c r="K11" s="25"/>
      <c r="L11" s="25">
        <f t="shared" si="30"/>
        <v>71045</v>
      </c>
      <c r="M11" s="25"/>
      <c r="N11" s="25"/>
      <c r="O11" s="25"/>
      <c r="P11" s="25">
        <f t="shared" si="31"/>
        <v>347835.3593688212</v>
      </c>
      <c r="Q11" s="25">
        <f t="shared" si="32"/>
        <v>-222153.80880728277</v>
      </c>
      <c r="R11" s="25">
        <f t="shared" si="2"/>
        <v>608257</v>
      </c>
      <c r="S11" s="25">
        <f t="shared" si="33"/>
        <v>32817</v>
      </c>
      <c r="T11" s="25">
        <f t="shared" si="34"/>
        <v>1418522.2143234741</v>
      </c>
      <c r="U11" s="25">
        <f t="shared" si="35"/>
        <v>776443.85114146117</v>
      </c>
      <c r="V11" s="25"/>
      <c r="W11" s="25"/>
      <c r="Y11" s="25"/>
      <c r="Z11" s="25"/>
      <c r="AA11" s="22" t="s">
        <v>668</v>
      </c>
      <c r="AB11" s="273">
        <v>208268</v>
      </c>
      <c r="AC11" s="26">
        <v>177097</v>
      </c>
      <c r="AD11" s="26">
        <v>231306</v>
      </c>
      <c r="AE11" s="26">
        <v>118297</v>
      </c>
      <c r="AF11" s="269">
        <v>45320</v>
      </c>
      <c r="AG11" s="26">
        <v>33904.410000000003</v>
      </c>
      <c r="AH11" s="26">
        <f t="shared" si="3"/>
        <v>218010</v>
      </c>
      <c r="AI11" s="26">
        <f>AI54+AF85</f>
        <v>39405.045999999995</v>
      </c>
      <c r="AJ11" s="277">
        <f>AJ54+AG70</f>
        <v>90237.440000000002</v>
      </c>
      <c r="AK11" s="26">
        <f t="shared" si="111"/>
        <v>69082.894</v>
      </c>
      <c r="AL11" s="26">
        <v>-417879</v>
      </c>
      <c r="AM11" s="26">
        <v>166292</v>
      </c>
      <c r="AN11" s="26">
        <v>250762</v>
      </c>
      <c r="AO11" s="26">
        <v>115421</v>
      </c>
      <c r="AP11" s="26">
        <v>5651</v>
      </c>
      <c r="AQ11" s="26">
        <v>229830</v>
      </c>
      <c r="AR11" s="26">
        <v>240940</v>
      </c>
      <c r="AS11" s="26">
        <v>76214</v>
      </c>
      <c r="AT11" s="26">
        <v>-40948</v>
      </c>
      <c r="AU11" s="26">
        <v>170534</v>
      </c>
      <c r="AV11" s="50">
        <v>503443</v>
      </c>
      <c r="AW11" s="26">
        <v>-106</v>
      </c>
      <c r="AX11" s="26">
        <v>262188</v>
      </c>
      <c r="AY11" s="26">
        <v>241276</v>
      </c>
      <c r="AZ11" s="26">
        <v>-244827</v>
      </c>
      <c r="BA11" s="26">
        <v>496763</v>
      </c>
      <c r="BB11" s="26"/>
      <c r="BC11" s="311">
        <f t="shared" si="36"/>
        <v>0</v>
      </c>
      <c r="BD11" s="26">
        <f t="shared" si="4"/>
        <v>177491.66666666666</v>
      </c>
      <c r="BE11" s="93">
        <f t="shared" si="5"/>
        <v>61343.178999999989</v>
      </c>
      <c r="BF11" s="27"/>
      <c r="BG11" s="28"/>
      <c r="BH11" s="23" t="s">
        <v>668</v>
      </c>
      <c r="BI11" s="26">
        <f>555027+53230</f>
        <v>608257</v>
      </c>
      <c r="BJ11" s="26">
        <v>867811</v>
      </c>
      <c r="BK11" s="26">
        <v>1081792</v>
      </c>
      <c r="BL11" s="26">
        <v>1126652</v>
      </c>
      <c r="BM11" s="26">
        <v>1420289</v>
      </c>
      <c r="BN11" s="26">
        <f>1228649+BH64*0.8</f>
        <v>1293325.8</v>
      </c>
      <c r="BO11" s="29">
        <f>1726743+0.8*BI64</f>
        <v>1752081.4</v>
      </c>
      <c r="BP11" s="29">
        <f>BM48+BJ64*0.8</f>
        <v>1259465.1196000001</v>
      </c>
      <c r="BQ11" s="29">
        <f>BN48+BK63*0.8</f>
        <v>1200277.2848</v>
      </c>
      <c r="BR11" s="29">
        <f t="shared" si="38"/>
        <v>1232278.8799999999</v>
      </c>
      <c r="BS11" s="29">
        <v>828776</v>
      </c>
      <c r="BT11" s="26">
        <v>1064149</v>
      </c>
      <c r="BU11" s="26">
        <v>1248844</v>
      </c>
      <c r="BV11" s="26">
        <v>1166555</v>
      </c>
      <c r="BW11" s="26">
        <v>1004315</v>
      </c>
      <c r="BX11" s="26">
        <v>1259290</v>
      </c>
      <c r="BY11" s="26">
        <v>1334438</v>
      </c>
      <c r="BZ11" s="26">
        <v>1253392</v>
      </c>
      <c r="CA11" s="26">
        <v>1306194</v>
      </c>
      <c r="CB11" s="26">
        <v>1765807</v>
      </c>
      <c r="CC11" s="750">
        <v>2446219</v>
      </c>
      <c r="CD11" s="750">
        <v>1784021</v>
      </c>
      <c r="CE11" s="778">
        <v>2100245</v>
      </c>
      <c r="CF11" s="778">
        <v>2089714</v>
      </c>
      <c r="CG11" s="778">
        <v>1468549</v>
      </c>
      <c r="CH11" s="778">
        <v>1926034</v>
      </c>
      <c r="CI11" s="778"/>
      <c r="CJ11" s="650">
        <f t="shared" si="39"/>
        <v>-0.10012899815484833</v>
      </c>
      <c r="CK11" s="89">
        <f t="shared" si="7"/>
        <v>1254575.7368800002</v>
      </c>
      <c r="CL11" s="90">
        <f t="shared" si="8"/>
        <v>1193354.3167636364</v>
      </c>
      <c r="CM11" s="35" t="s">
        <v>668</v>
      </c>
      <c r="CN11" s="36">
        <f t="shared" si="9"/>
        <v>0.34240132049446204</v>
      </c>
      <c r="CO11" s="36">
        <f t="shared" si="10"/>
        <v>0.20407323714495437</v>
      </c>
      <c r="CP11" s="36">
        <f t="shared" si="11"/>
        <v>0.21381744364905639</v>
      </c>
      <c r="CQ11" s="36">
        <f t="shared" si="12"/>
        <v>0.10499870412514246</v>
      </c>
      <c r="CR11" s="36">
        <f t="shared" si="13"/>
        <v>3.1908998802356425E-2</v>
      </c>
      <c r="CS11" s="36">
        <f t="shared" si="14"/>
        <v>2.6214902695051782E-2</v>
      </c>
      <c r="CT11" s="37">
        <f t="shared" si="15"/>
        <v>0.12442915038079852</v>
      </c>
      <c r="CU11" s="37">
        <f t="shared" si="40"/>
        <v>3.1287127675687317E-2</v>
      </c>
      <c r="CV11" s="77">
        <f t="shared" si="41"/>
        <v>7.5180494659645339E-2</v>
      </c>
      <c r="CW11" s="77">
        <f t="shared" si="42"/>
        <v>5.6061087405798925E-2</v>
      </c>
      <c r="CX11" s="77">
        <f t="shared" si="43"/>
        <v>-0.50421223587555619</v>
      </c>
      <c r="CY11" s="77">
        <f t="shared" si="44"/>
        <v>0.15626759034684054</v>
      </c>
      <c r="CZ11" s="77">
        <f t="shared" si="45"/>
        <v>0.20079529548926847</v>
      </c>
      <c r="DA11" s="77">
        <f t="shared" si="46"/>
        <v>9.8941755853774571E-2</v>
      </c>
      <c r="DB11" s="77">
        <f t="shared" si="47"/>
        <v>5.6267207001787292E-3</v>
      </c>
      <c r="DC11" s="77">
        <f t="shared" si="48"/>
        <v>0.18250760349085596</v>
      </c>
      <c r="DD11" s="77">
        <f t="shared" si="49"/>
        <v>0.18055540984294513</v>
      </c>
      <c r="DE11" s="77">
        <f t="shared" si="50"/>
        <v>6.0806196305704836E-2</v>
      </c>
      <c r="DF11" s="77">
        <f t="shared" si="51"/>
        <v>-3.1349095157380907E-2</v>
      </c>
      <c r="DG11" s="77">
        <f t="shared" si="17"/>
        <v>9.6575673332363055E-2</v>
      </c>
      <c r="DH11" s="77">
        <f t="shared" si="18"/>
        <v>0.20580454979705415</v>
      </c>
      <c r="DI11" s="77">
        <f t="shared" si="19"/>
        <v>-5.9416340951143513E-5</v>
      </c>
      <c r="DJ11" s="77">
        <f t="shared" si="20"/>
        <v>0.12483686427059699</v>
      </c>
      <c r="DK11" s="77" t="str">
        <f t="shared" si="21"/>
        <v/>
      </c>
      <c r="DL11" s="22" t="s">
        <v>668</v>
      </c>
      <c r="DM11" s="26">
        <f t="shared" si="52"/>
        <v>762350</v>
      </c>
      <c r="DN11" s="26">
        <f t="shared" si="53"/>
        <v>446455</v>
      </c>
      <c r="DO11" s="26">
        <f t="shared" si="54"/>
        <v>900780</v>
      </c>
      <c r="DP11" s="26">
        <f t="shared" si="55"/>
        <v>295975</v>
      </c>
      <c r="DQ11" s="26">
        <f t="shared" si="56"/>
        <v>761910</v>
      </c>
      <c r="DR11" s="26">
        <f t="shared" si="57"/>
        <v>316380.70000000007</v>
      </c>
      <c r="DS11" s="26">
        <f t="shared" si="58"/>
        <v>40923.880000000063</v>
      </c>
      <c r="DT11" s="26">
        <f t="shared" si="59"/>
        <v>-555695.09700000007</v>
      </c>
      <c r="DU11" s="26">
        <f t="shared" si="60"/>
        <v>-366834.82699999999</v>
      </c>
      <c r="DV11" s="26">
        <f t="shared" si="61"/>
        <v>-241204.59</v>
      </c>
      <c r="DW11" s="359">
        <f t="shared" si="62"/>
        <v>-1110321</v>
      </c>
      <c r="DX11" s="26">
        <f t="shared" si="63"/>
        <v>1084278</v>
      </c>
      <c r="DY11" s="26">
        <f t="shared" si="64"/>
        <v>1706692</v>
      </c>
      <c r="DZ11" s="26">
        <f t="shared" si="65"/>
        <v>2170752</v>
      </c>
      <c r="EA11" s="26">
        <f t="shared" si="66"/>
        <v>495230</v>
      </c>
      <c r="EB11" s="359">
        <f t="shared" si="67"/>
        <v>1151774</v>
      </c>
      <c r="EC11" s="26">
        <f t="shared" si="114"/>
        <v>-70728</v>
      </c>
      <c r="ED11" s="26">
        <f t="shared" si="115"/>
        <v>453443</v>
      </c>
      <c r="EE11" s="26">
        <f t="shared" si="68"/>
        <v>-43545</v>
      </c>
      <c r="EF11" s="26">
        <f t="shared" si="69"/>
        <v>1087901</v>
      </c>
      <c r="EG11" s="26">
        <f t="shared" si="70"/>
        <v>3846666</v>
      </c>
      <c r="EH11" s="26">
        <f t="shared" si="71"/>
        <v>877758</v>
      </c>
      <c r="EI11" s="26">
        <f t="shared" si="72"/>
        <v>1741865</v>
      </c>
      <c r="EJ11" s="26" t="str">
        <f t="shared" si="73"/>
        <v/>
      </c>
      <c r="EK11" s="360">
        <f t="shared" si="74"/>
        <v>1653907.3333333333</v>
      </c>
      <c r="EL11" s="359">
        <f t="shared" si="23"/>
        <v>426394.24859999993</v>
      </c>
      <c r="EM11" s="93">
        <f t="shared" si="75"/>
        <v>4657.1184444444307</v>
      </c>
      <c r="EN11" s="404" t="s">
        <v>668</v>
      </c>
      <c r="EO11" s="33">
        <f t="shared" si="117"/>
        <v>4193494</v>
      </c>
      <c r="EP11" s="33">
        <f t="shared" si="117"/>
        <v>5459653.7199999997</v>
      </c>
      <c r="EQ11" s="33">
        <f t="shared" si="117"/>
        <v>8112793</v>
      </c>
      <c r="ER11" s="33">
        <f t="shared" si="117"/>
        <v>9227037</v>
      </c>
      <c r="ES11" s="33">
        <f t="shared" si="117"/>
        <v>12089176</v>
      </c>
      <c r="ET11" s="33">
        <f t="shared" si="118"/>
        <v>11894996.350000001</v>
      </c>
      <c r="EU11" s="34">
        <f t="shared" si="118"/>
        <v>13108858.75</v>
      </c>
      <c r="EV11" s="34">
        <f t="shared" si="118"/>
        <v>12522417.505999999</v>
      </c>
      <c r="EW11" s="34">
        <f t="shared" si="118"/>
        <v>11392604.6336</v>
      </c>
      <c r="EX11" s="34">
        <f t="shared" si="121"/>
        <v>9480955.068</v>
      </c>
      <c r="EY11" s="34">
        <f t="shared" si="121"/>
        <v>8558287</v>
      </c>
      <c r="EZ11" s="34">
        <f t="shared" si="77"/>
        <v>8845995</v>
      </c>
      <c r="FA11" s="34">
        <f t="shared" si="78"/>
        <v>10147757</v>
      </c>
      <c r="FB11" s="34">
        <f t="shared" si="79"/>
        <v>11998597</v>
      </c>
      <c r="FC11" s="34">
        <f t="shared" si="80"/>
        <v>10393791</v>
      </c>
      <c r="FD11" s="649">
        <f t="shared" si="81"/>
        <v>11036907</v>
      </c>
      <c r="FE11" s="649">
        <f t="shared" si="82"/>
        <v>10794984</v>
      </c>
      <c r="FF11" s="649">
        <f t="shared" si="83"/>
        <v>11335925</v>
      </c>
      <c r="FG11" s="649">
        <f t="shared" si="84"/>
        <v>12524656</v>
      </c>
      <c r="FH11" s="34">
        <f t="shared" si="119"/>
        <v>14627901</v>
      </c>
      <c r="FI11" s="34">
        <f t="shared" si="119"/>
        <v>19893780</v>
      </c>
      <c r="FJ11" s="34">
        <f t="shared" si="119"/>
        <v>16032805</v>
      </c>
      <c r="FK11" s="34">
        <f t="shared" si="119"/>
        <v>17664950</v>
      </c>
      <c r="FL11" s="34" t="str">
        <f t="shared" si="86"/>
        <v xml:space="preserve"> </v>
      </c>
      <c r="FM11" s="35" t="s">
        <v>668</v>
      </c>
      <c r="FN11" s="36">
        <f t="shared" si="87"/>
        <v>0.18179351156815773</v>
      </c>
      <c r="FO11" s="36">
        <f t="shared" si="88"/>
        <v>8.177350119560331E-2</v>
      </c>
      <c r="FP11" s="36">
        <f t="shared" si="89"/>
        <v>0.11103204531411069</v>
      </c>
      <c r="FQ11" s="36">
        <f t="shared" si="90"/>
        <v>3.20769278371811E-2</v>
      </c>
      <c r="FR11" s="36">
        <f t="shared" si="91"/>
        <v>6.3024146558872174E-2</v>
      </c>
      <c r="FS11" s="36">
        <f t="shared" si="92"/>
        <v>2.6597797148546418E-2</v>
      </c>
      <c r="FT11" s="36">
        <f t="shared" si="93"/>
        <v>3.1218491846210536E-3</v>
      </c>
      <c r="FU11" s="36">
        <f t="shared" si="94"/>
        <v>-4.4376023777656669E-2</v>
      </c>
      <c r="FV11" s="36">
        <f t="shared" si="95"/>
        <v>-3.219938186199324E-2</v>
      </c>
      <c r="FW11" s="36">
        <f t="shared" si="96"/>
        <v>-2.5440959087983731E-2</v>
      </c>
      <c r="FX11" s="36">
        <f t="shared" si="97"/>
        <v>-0.12973635962430333</v>
      </c>
      <c r="FY11" s="36">
        <f t="shared" si="98"/>
        <v>0.12257275750212385</v>
      </c>
      <c r="FZ11" s="36">
        <f t="shared" si="99"/>
        <v>0.16818416128805608</v>
      </c>
      <c r="GA11" s="36">
        <f t="shared" si="100"/>
        <v>0.1809171522303816</v>
      </c>
      <c r="GB11" s="36">
        <f t="shared" si="101"/>
        <v>4.7646715236048139E-2</v>
      </c>
      <c r="GC11" s="36">
        <f t="shared" si="102"/>
        <v>0.1043565919328667</v>
      </c>
      <c r="GD11" s="36">
        <f t="shared" si="103"/>
        <v>-6.551931897258949E-3</v>
      </c>
      <c r="GE11" s="36">
        <f t="shared" si="104"/>
        <v>4.0000529290728372E-2</v>
      </c>
      <c r="GF11" s="36">
        <f t="shared" si="105"/>
        <v>-3.4767421955541134E-3</v>
      </c>
      <c r="GG11" s="36">
        <f t="shared" si="106"/>
        <v>7.4371640879986808E-2</v>
      </c>
      <c r="GH11" s="36">
        <f t="shared" si="107"/>
        <v>0.19336023621453541</v>
      </c>
      <c r="GI11" s="36">
        <f t="shared" si="108"/>
        <v>5.4747625259584959E-2</v>
      </c>
      <c r="GJ11" s="36">
        <f t="shared" si="109"/>
        <v>9.8605713574054843E-2</v>
      </c>
      <c r="GK11" s="36" t="str">
        <f t="shared" si="109"/>
        <v xml:space="preserve"> </v>
      </c>
      <c r="GL11" s="24">
        <f>A32</f>
        <v>31563</v>
      </c>
      <c r="GM11" s="97">
        <f>SUM(B30:B32)</f>
        <v>2765531</v>
      </c>
      <c r="GN11" s="97">
        <f>SUM(C30:C32)</f>
        <v>189857</v>
      </c>
      <c r="GO11" s="5">
        <f t="shared" si="27"/>
        <v>26001</v>
      </c>
      <c r="GP11" s="25" t="e">
        <f t="shared" si="28"/>
        <v>#DIV/0!</v>
      </c>
      <c r="GQ11" s="25" t="e">
        <f t="shared" si="29"/>
        <v>#DIV/0!</v>
      </c>
      <c r="GR11" s="48">
        <f t="shared" si="113"/>
        <v>254420.5</v>
      </c>
      <c r="GS11" s="48">
        <f t="shared" si="122"/>
        <v>139059.5</v>
      </c>
      <c r="GT11" s="48">
        <f t="shared" si="116"/>
        <v>1017682</v>
      </c>
      <c r="GU11" s="48">
        <f t="shared" si="123"/>
        <v>556238</v>
      </c>
      <c r="GV11" s="75">
        <f t="shared" si="124"/>
        <v>1017682</v>
      </c>
      <c r="GW11" s="75"/>
      <c r="GX11" s="48">
        <f t="shared" si="125"/>
        <v>1017682</v>
      </c>
      <c r="GY11" s="48"/>
      <c r="GZ11" s="75">
        <f t="shared" si="126"/>
        <v>9788785</v>
      </c>
      <c r="HA11" s="157">
        <f t="shared" si="127"/>
        <v>0.10396407725780063</v>
      </c>
      <c r="HC11" s="368">
        <v>9</v>
      </c>
      <c r="HD11" s="369" t="s">
        <v>1551</v>
      </c>
      <c r="HE11" s="376" t="s">
        <v>1337</v>
      </c>
      <c r="HF11" s="371">
        <v>0.02</v>
      </c>
      <c r="HG11" s="377" t="s">
        <v>386</v>
      </c>
      <c r="HH11" s="402">
        <v>0.01</v>
      </c>
      <c r="HI11" s="377"/>
      <c r="HJ11" s="380" t="s">
        <v>1412</v>
      </c>
    </row>
    <row r="12" spans="1:219" ht="16">
      <c r="A12" s="24">
        <v>30955</v>
      </c>
      <c r="B12" s="25">
        <f t="shared" si="0"/>
        <v>630745</v>
      </c>
      <c r="C12" s="25">
        <f t="shared" si="1"/>
        <v>114416</v>
      </c>
      <c r="D12" s="25">
        <f t="shared" si="110"/>
        <v>459907</v>
      </c>
      <c r="E12" s="25"/>
      <c r="F12" s="25"/>
      <c r="G12" s="25"/>
      <c r="H12" s="25"/>
      <c r="I12" s="25"/>
      <c r="J12" s="25"/>
      <c r="K12" s="25"/>
      <c r="L12" s="25">
        <f t="shared" si="30"/>
        <v>93852</v>
      </c>
      <c r="M12" s="25"/>
      <c r="N12" s="25"/>
      <c r="O12" s="25"/>
      <c r="P12" s="25">
        <f t="shared" si="31"/>
        <v>347835.3593688212</v>
      </c>
      <c r="Q12" s="25">
        <f t="shared" si="32"/>
        <v>-222153.80880728277</v>
      </c>
      <c r="R12" s="25">
        <f t="shared" si="2"/>
        <v>630745</v>
      </c>
      <c r="S12" s="25">
        <f t="shared" si="33"/>
        <v>22488</v>
      </c>
      <c r="T12" s="25">
        <f t="shared" si="34"/>
        <v>1418522.2143234741</v>
      </c>
      <c r="U12" s="25">
        <f t="shared" si="35"/>
        <v>776443.85114146117</v>
      </c>
      <c r="V12" s="25"/>
      <c r="W12" s="25"/>
      <c r="Y12" s="25"/>
      <c r="Z12" s="25"/>
      <c r="AA12" s="22" t="s">
        <v>1290</v>
      </c>
      <c r="AB12" s="273">
        <v>114416</v>
      </c>
      <c r="AC12" s="26">
        <v>124733</v>
      </c>
      <c r="AD12" s="26">
        <v>-37216</v>
      </c>
      <c r="AE12" s="26">
        <v>286313</v>
      </c>
      <c r="AF12" s="269">
        <v>1552</v>
      </c>
      <c r="AG12" s="26">
        <v>78275</v>
      </c>
      <c r="AH12" s="26">
        <f t="shared" si="3"/>
        <v>130171</v>
      </c>
      <c r="AI12" s="26">
        <f>AI55+AF86</f>
        <v>-24267.563500000004</v>
      </c>
      <c r="AJ12" s="277">
        <f>AJ55+AG71</f>
        <v>-291622.64799999999</v>
      </c>
      <c r="AK12" s="26">
        <f t="shared" si="111"/>
        <v>183978.49300000002</v>
      </c>
      <c r="AL12" s="26">
        <v>109414</v>
      </c>
      <c r="AM12" s="26">
        <v>-64578</v>
      </c>
      <c r="AN12" s="26">
        <v>179501</v>
      </c>
      <c r="AO12" s="26">
        <v>595746</v>
      </c>
      <c r="AP12" s="26">
        <v>-62298</v>
      </c>
      <c r="AQ12" s="26">
        <v>-38537</v>
      </c>
      <c r="AR12" s="26">
        <v>184135</v>
      </c>
      <c r="AS12" s="26">
        <v>-88677</v>
      </c>
      <c r="AT12" s="26">
        <v>102350</v>
      </c>
      <c r="AU12" s="26">
        <v>350656</v>
      </c>
      <c r="AV12" s="50">
        <v>637324</v>
      </c>
      <c r="AW12" s="26">
        <v>-101578</v>
      </c>
      <c r="AX12" s="26">
        <v>-25329</v>
      </c>
      <c r="AY12" s="26">
        <v>128161</v>
      </c>
      <c r="AZ12" s="26">
        <v>324540</v>
      </c>
      <c r="BA12" s="26">
        <v>225816</v>
      </c>
      <c r="BB12" s="26"/>
      <c r="BC12" s="311">
        <f t="shared" si="36"/>
        <v>0</v>
      </c>
      <c r="BD12" s="26">
        <f t="shared" si="4"/>
        <v>236889.66666666666</v>
      </c>
      <c r="BE12" s="93">
        <f t="shared" si="5"/>
        <v>58873.628150000004</v>
      </c>
      <c r="BF12" s="27"/>
      <c r="BG12" s="28"/>
      <c r="BH12" s="23" t="s">
        <v>1290</v>
      </c>
      <c r="BI12" s="26">
        <f>623908+6837</f>
        <v>630745</v>
      </c>
      <c r="BJ12" s="26">
        <v>815869</v>
      </c>
      <c r="BK12" s="26">
        <v>950022</v>
      </c>
      <c r="BL12" s="26">
        <v>1551438</v>
      </c>
      <c r="BM12" s="26">
        <v>1335292</v>
      </c>
      <c r="BN12" s="26">
        <f>1228649+BH65*0.8</f>
        <v>1272209.8</v>
      </c>
      <c r="BO12" s="29">
        <f>1692430+BI65</f>
        <v>1814872</v>
      </c>
      <c r="BP12" s="29">
        <f>BM49+BJ65*0.8</f>
        <v>1235232.4664</v>
      </c>
      <c r="BQ12" s="29">
        <f>BN49+BK64*0.8</f>
        <v>1015960.4704</v>
      </c>
      <c r="BR12" s="29">
        <f t="shared" si="38"/>
        <v>1261277.79</v>
      </c>
      <c r="BS12" s="29">
        <v>1042891</v>
      </c>
      <c r="BT12" s="26">
        <v>857407</v>
      </c>
      <c r="BU12" s="26">
        <v>1158531</v>
      </c>
      <c r="BV12" s="26">
        <v>1827875</v>
      </c>
      <c r="BW12" s="26">
        <v>1070589</v>
      </c>
      <c r="BX12" s="26">
        <v>1196138</v>
      </c>
      <c r="BY12" s="26">
        <v>1311722</v>
      </c>
      <c r="BZ12" s="26">
        <v>1108342</v>
      </c>
      <c r="CA12" s="26">
        <v>1514810</v>
      </c>
      <c r="CB12" s="26">
        <v>1890034</v>
      </c>
      <c r="CC12" s="750">
        <v>2676993</v>
      </c>
      <c r="CD12" s="750">
        <v>1730173</v>
      </c>
      <c r="CE12" s="750">
        <v>1774220</v>
      </c>
      <c r="CF12" s="750">
        <v>2065254</v>
      </c>
      <c r="CG12" s="750">
        <v>2078908</v>
      </c>
      <c r="CH12" s="750">
        <v>2320587</v>
      </c>
      <c r="CI12" s="750"/>
      <c r="CJ12" s="650">
        <f t="shared" si="39"/>
        <v>-0.16268791319583675</v>
      </c>
      <c r="CK12" s="89">
        <f t="shared" si="7"/>
        <v>1274046.7453600001</v>
      </c>
      <c r="CL12" s="90">
        <f t="shared" si="8"/>
        <v>1195679.2297090909</v>
      </c>
      <c r="CM12" s="35" t="s">
        <v>1290</v>
      </c>
      <c r="CN12" s="36">
        <f t="shared" si="9"/>
        <v>0.18139818785721645</v>
      </c>
      <c r="CO12" s="36">
        <f t="shared" si="10"/>
        <v>0.15288361244268381</v>
      </c>
      <c r="CP12" s="36">
        <f t="shared" si="11"/>
        <v>-3.9173829658681589E-2</v>
      </c>
      <c r="CQ12" s="36">
        <f t="shared" si="12"/>
        <v>0.18454685266185306</v>
      </c>
      <c r="CR12" s="36">
        <f t="shared" si="13"/>
        <v>1.1622925921820845E-3</v>
      </c>
      <c r="CS12" s="36">
        <f t="shared" si="14"/>
        <v>6.1526801632875328E-2</v>
      </c>
      <c r="CT12" s="37">
        <f t="shared" si="15"/>
        <v>7.17246174936855E-2</v>
      </c>
      <c r="CU12" s="37">
        <f t="shared" si="40"/>
        <v>-1.9646150955476539E-2</v>
      </c>
      <c r="CV12" s="77">
        <f t="shared" si="41"/>
        <v>-0.28704133329634712</v>
      </c>
      <c r="CW12" s="77">
        <f t="shared" si="42"/>
        <v>0.14586675073379354</v>
      </c>
      <c r="CX12" s="77">
        <f t="shared" si="43"/>
        <v>0.1049141281303607</v>
      </c>
      <c r="CY12" s="77">
        <f t="shared" si="44"/>
        <v>-7.5317789567848181E-2</v>
      </c>
      <c r="CZ12" s="77">
        <f t="shared" si="45"/>
        <v>0.15493845222959074</v>
      </c>
      <c r="DA12" s="77">
        <f t="shared" si="46"/>
        <v>0.32592272447514192</v>
      </c>
      <c r="DB12" s="77">
        <f t="shared" si="47"/>
        <v>-5.8190397995869565E-2</v>
      </c>
      <c r="DC12" s="77">
        <f t="shared" si="48"/>
        <v>-3.2217854461608943E-2</v>
      </c>
      <c r="DD12" s="77">
        <f t="shared" si="49"/>
        <v>0.14037654320046472</v>
      </c>
      <c r="DE12" s="77">
        <f t="shared" si="50"/>
        <v>-8.0008697676348994E-2</v>
      </c>
      <c r="DF12" s="77">
        <f t="shared" si="51"/>
        <v>6.7566229428113092E-2</v>
      </c>
      <c r="DG12" s="77">
        <f t="shared" si="17"/>
        <v>0.18552893757466796</v>
      </c>
      <c r="DH12" s="77">
        <f t="shared" si="18"/>
        <v>0.2380745859253274</v>
      </c>
      <c r="DI12" s="77">
        <f t="shared" si="19"/>
        <v>-5.8709735962819906E-2</v>
      </c>
      <c r="DJ12" s="77">
        <f t="shared" si="20"/>
        <v>-1.4276132610386537E-2</v>
      </c>
      <c r="DK12" s="77" t="str">
        <f t="shared" si="21"/>
        <v/>
      </c>
      <c r="DL12" s="22" t="s">
        <v>1290</v>
      </c>
      <c r="DM12" s="26">
        <f t="shared" si="52"/>
        <v>876766</v>
      </c>
      <c r="DN12" s="26">
        <f t="shared" si="53"/>
        <v>571188</v>
      </c>
      <c r="DO12" s="26">
        <f t="shared" si="54"/>
        <v>863564</v>
      </c>
      <c r="DP12" s="26">
        <f t="shared" si="55"/>
        <v>582288</v>
      </c>
      <c r="DQ12" s="26">
        <f t="shared" si="56"/>
        <v>763462</v>
      </c>
      <c r="DR12" s="26">
        <f t="shared" si="57"/>
        <v>394655.70000000007</v>
      </c>
      <c r="DS12" s="26">
        <f t="shared" si="58"/>
        <v>171094.88000000006</v>
      </c>
      <c r="DT12" s="26">
        <f t="shared" si="59"/>
        <v>-579962.66050000011</v>
      </c>
      <c r="DU12" s="26">
        <f t="shared" si="60"/>
        <v>-658457.47499999998</v>
      </c>
      <c r="DV12" s="26">
        <f t="shared" si="61"/>
        <v>-57226.09699999998</v>
      </c>
      <c r="DW12" s="359">
        <f t="shared" si="62"/>
        <v>-1000907</v>
      </c>
      <c r="DX12" s="26">
        <f t="shared" si="63"/>
        <v>1019700</v>
      </c>
      <c r="DY12" s="26">
        <f t="shared" si="64"/>
        <v>1886193</v>
      </c>
      <c r="DZ12" s="26">
        <f t="shared" si="65"/>
        <v>2766498</v>
      </c>
      <c r="EA12" s="26">
        <f t="shared" si="66"/>
        <v>432932</v>
      </c>
      <c r="EB12" s="359">
        <f t="shared" si="67"/>
        <v>1113237</v>
      </c>
      <c r="EC12" s="26">
        <f t="shared" si="114"/>
        <v>113407</v>
      </c>
      <c r="ED12" s="26">
        <f t="shared" si="115"/>
        <v>364766</v>
      </c>
      <c r="EE12" s="26">
        <f t="shared" si="68"/>
        <v>58805</v>
      </c>
      <c r="EF12" s="26">
        <f t="shared" si="69"/>
        <v>1438557</v>
      </c>
      <c r="EG12" s="26">
        <f t="shared" si="70"/>
        <v>4483990</v>
      </c>
      <c r="EH12" s="26">
        <f t="shared" si="71"/>
        <v>776180</v>
      </c>
      <c r="EI12" s="26">
        <f t="shared" si="72"/>
        <v>1716536</v>
      </c>
      <c r="EJ12" s="26" t="str">
        <f t="shared" si="73"/>
        <v/>
      </c>
      <c r="EK12" s="360">
        <f t="shared" si="74"/>
        <v>1890797</v>
      </c>
      <c r="EL12" s="359">
        <f t="shared" si="23"/>
        <v>503541.37675</v>
      </c>
      <c r="EM12" s="93">
        <f t="shared" si="75"/>
        <v>53167.927499999962</v>
      </c>
      <c r="EN12" s="404" t="s">
        <v>1290</v>
      </c>
      <c r="EO12" s="33">
        <f t="shared" si="117"/>
        <v>4824239</v>
      </c>
      <c r="EP12" s="33">
        <f t="shared" si="117"/>
        <v>6275522.7199999997</v>
      </c>
      <c r="EQ12" s="33">
        <f t="shared" si="117"/>
        <v>9062815</v>
      </c>
      <c r="ER12" s="33">
        <f t="shared" si="117"/>
        <v>10778475</v>
      </c>
      <c r="ES12" s="33">
        <f t="shared" si="117"/>
        <v>13424468</v>
      </c>
      <c r="ET12" s="33">
        <f t="shared" si="118"/>
        <v>13167206.150000002</v>
      </c>
      <c r="EU12" s="34">
        <f t="shared" si="118"/>
        <v>14923730.75</v>
      </c>
      <c r="EV12" s="34">
        <f t="shared" si="118"/>
        <v>13757649.972399998</v>
      </c>
      <c r="EW12" s="34">
        <f t="shared" si="118"/>
        <v>12408565.104</v>
      </c>
      <c r="EX12" s="34">
        <f>IF(BR12&gt;0,EX11+BR12,EP25)</f>
        <v>10742232.857999999</v>
      </c>
      <c r="EY12" s="34">
        <f>IF(BS12&gt;0,EY11+BS12,EQ25)</f>
        <v>9601178</v>
      </c>
      <c r="EZ12" s="34">
        <f t="shared" si="77"/>
        <v>9703402</v>
      </c>
      <c r="FA12" s="34">
        <f t="shared" si="78"/>
        <v>11306288</v>
      </c>
      <c r="FB12" s="34">
        <f t="shared" si="79"/>
        <v>13826472</v>
      </c>
      <c r="FC12" s="34">
        <f t="shared" si="80"/>
        <v>11464380</v>
      </c>
      <c r="FD12" s="649">
        <f t="shared" si="81"/>
        <v>12233045</v>
      </c>
      <c r="FE12" s="649">
        <f t="shared" si="82"/>
        <v>12106706</v>
      </c>
      <c r="FF12" s="649">
        <f t="shared" si="83"/>
        <v>12444267</v>
      </c>
      <c r="FG12" s="649">
        <f t="shared" si="84"/>
        <v>14039466</v>
      </c>
      <c r="FH12" s="34">
        <f t="shared" si="119"/>
        <v>16517935</v>
      </c>
      <c r="FI12" s="34">
        <f t="shared" si="119"/>
        <v>22570773</v>
      </c>
      <c r="FJ12" s="34">
        <f t="shared" si="119"/>
        <v>17762978</v>
      </c>
      <c r="FK12" s="34">
        <f t="shared" si="119"/>
        <v>19439170</v>
      </c>
      <c r="FL12" s="34" t="str">
        <f t="shared" si="86"/>
        <v xml:space="preserve"> </v>
      </c>
      <c r="FM12" s="35" t="s">
        <v>1290</v>
      </c>
      <c r="FN12" s="36">
        <f t="shared" si="87"/>
        <v>0.18174182498006422</v>
      </c>
      <c r="FO12" s="36">
        <f t="shared" si="88"/>
        <v>9.1018394082078957E-2</v>
      </c>
      <c r="FP12" s="36">
        <f t="shared" si="89"/>
        <v>9.5286508662043745E-2</v>
      </c>
      <c r="FQ12" s="36">
        <f t="shared" si="90"/>
        <v>5.4023226847953909E-2</v>
      </c>
      <c r="FR12" s="36">
        <f t="shared" si="91"/>
        <v>5.6870931496130796E-2</v>
      </c>
      <c r="FS12" s="36">
        <f t="shared" si="92"/>
        <v>2.9972622552127355E-2</v>
      </c>
      <c r="FT12" s="36">
        <f t="shared" si="93"/>
        <v>1.1464618523756204E-2</v>
      </c>
      <c r="FU12" s="36">
        <f t="shared" si="94"/>
        <v>-4.215564879637846E-2</v>
      </c>
      <c r="FV12" s="36">
        <f t="shared" si="95"/>
        <v>-5.3064755633005542E-2</v>
      </c>
      <c r="FW12" s="36">
        <f t="shared" si="96"/>
        <v>-5.3272068997631461E-3</v>
      </c>
      <c r="FX12" s="36">
        <f t="shared" si="97"/>
        <v>-0.1042483536915991</v>
      </c>
      <c r="FY12" s="36">
        <f t="shared" si="98"/>
        <v>0.1050868551050446</v>
      </c>
      <c r="FZ12" s="36">
        <f t="shared" si="99"/>
        <v>0.16682690198586839</v>
      </c>
      <c r="GA12" s="36">
        <f t="shared" si="100"/>
        <v>0.20008705040591701</v>
      </c>
      <c r="GB12" s="36">
        <f t="shared" si="101"/>
        <v>3.7763228364726224E-2</v>
      </c>
      <c r="GC12" s="36">
        <f t="shared" si="102"/>
        <v>9.1002444608026867E-2</v>
      </c>
      <c r="GD12" s="36">
        <f t="shared" si="103"/>
        <v>9.3672878485692151E-3</v>
      </c>
      <c r="GE12" s="36">
        <f t="shared" si="104"/>
        <v>2.9311971528736887E-2</v>
      </c>
      <c r="GF12" s="36">
        <f t="shared" si="105"/>
        <v>4.1885496214742069E-3</v>
      </c>
      <c r="GG12" s="36">
        <f t="shared" si="106"/>
        <v>8.7090607875621256E-2</v>
      </c>
      <c r="GH12" s="36">
        <f t="shared" si="107"/>
        <v>0.19866355485476728</v>
      </c>
      <c r="GI12" s="36">
        <f t="shared" si="108"/>
        <v>4.3696501791535183E-2</v>
      </c>
      <c r="GJ12" s="36">
        <f t="shared" si="109"/>
        <v>8.8302947090848016E-2</v>
      </c>
      <c r="GK12" s="36" t="str">
        <f t="shared" si="109"/>
        <v xml:space="preserve"> </v>
      </c>
      <c r="GL12" s="24">
        <f>A35</f>
        <v>31655</v>
      </c>
      <c r="GM12" s="97">
        <f>SUM(B33:B35)</f>
        <v>3123531</v>
      </c>
      <c r="GN12" s="97">
        <f>SUM(C33:C35)</f>
        <v>495065</v>
      </c>
      <c r="GO12" s="5">
        <f t="shared" si="27"/>
        <v>305208</v>
      </c>
      <c r="GP12" s="25" t="e">
        <f t="shared" si="28"/>
        <v>#DIV/0!</v>
      </c>
      <c r="GQ12" s="25" t="e">
        <f t="shared" si="29"/>
        <v>#DIV/0!</v>
      </c>
      <c r="GR12" s="48">
        <f t="shared" si="113"/>
        <v>289075.5</v>
      </c>
      <c r="GS12" s="48">
        <f t="shared" si="122"/>
        <v>80476.75</v>
      </c>
      <c r="GT12" s="48">
        <f t="shared" si="116"/>
        <v>1156302</v>
      </c>
      <c r="GU12" s="48">
        <f t="shared" si="123"/>
        <v>321907</v>
      </c>
      <c r="GV12" s="75">
        <f t="shared" si="124"/>
        <v>1156302</v>
      </c>
      <c r="GW12" s="75"/>
      <c r="GX12" s="48">
        <f t="shared" si="125"/>
        <v>1156302</v>
      </c>
      <c r="GY12" s="48"/>
      <c r="GZ12" s="75">
        <f t="shared" si="126"/>
        <v>10546385</v>
      </c>
      <c r="HA12" s="157">
        <f t="shared" si="127"/>
        <v>0.10963965377709993</v>
      </c>
      <c r="HC12" s="368">
        <v>10</v>
      </c>
      <c r="HD12" s="369" t="s">
        <v>1336</v>
      </c>
      <c r="HE12" s="376" t="s">
        <v>1549</v>
      </c>
      <c r="HF12" s="371"/>
      <c r="HG12" s="73" t="s">
        <v>1130</v>
      </c>
      <c r="HH12" s="371"/>
      <c r="HI12" s="377"/>
      <c r="HJ12" s="380"/>
    </row>
    <row r="13" spans="1:219" ht="16">
      <c r="A13" s="24">
        <v>30986</v>
      </c>
      <c r="B13" s="25">
        <f t="shared" si="0"/>
        <v>445415</v>
      </c>
      <c r="C13" s="25">
        <f t="shared" si="1"/>
        <v>-3018</v>
      </c>
      <c r="D13" s="25">
        <f t="shared" si="110"/>
        <v>319666</v>
      </c>
      <c r="E13" s="25"/>
      <c r="F13" s="25"/>
      <c r="G13" s="25"/>
      <c r="H13" s="25"/>
      <c r="I13" s="25"/>
      <c r="J13" s="25"/>
      <c r="K13" s="25"/>
      <c r="L13" s="25">
        <f t="shared" si="30"/>
        <v>117434</v>
      </c>
      <c r="M13" s="25"/>
      <c r="N13" s="25"/>
      <c r="O13" s="25"/>
      <c r="P13" s="25">
        <f t="shared" si="31"/>
        <v>347835.3593688212</v>
      </c>
      <c r="Q13" s="25">
        <f t="shared" si="32"/>
        <v>-222153.80880728277</v>
      </c>
      <c r="R13" s="25">
        <f t="shared" si="2"/>
        <v>445415</v>
      </c>
      <c r="S13" s="25">
        <f t="shared" si="33"/>
        <v>185330</v>
      </c>
      <c r="T13" s="25">
        <f t="shared" si="34"/>
        <v>1418522.2143234741</v>
      </c>
      <c r="U13" s="25">
        <f t="shared" si="35"/>
        <v>776443.85114146117</v>
      </c>
      <c r="V13" s="25"/>
      <c r="W13" s="25"/>
      <c r="Y13" s="25"/>
      <c r="Z13" s="25"/>
      <c r="AA13" s="22" t="s">
        <v>726</v>
      </c>
      <c r="AB13" s="273">
        <v>-3018</v>
      </c>
      <c r="AC13" s="26">
        <v>98095</v>
      </c>
      <c r="AD13" s="26">
        <v>-112887</v>
      </c>
      <c r="AE13" s="26">
        <v>280766</v>
      </c>
      <c r="AF13" s="269">
        <v>-302798</v>
      </c>
      <c r="AG13" s="26">
        <v>190541.13</v>
      </c>
      <c r="AH13" s="26">
        <f t="shared" si="3"/>
        <v>288722</v>
      </c>
      <c r="AI13" s="26">
        <f t="shared" si="3"/>
        <v>249705.67149999997</v>
      </c>
      <c r="AJ13" s="277">
        <f>AJ56+AJ72</f>
        <v>169013.23199999999</v>
      </c>
      <c r="AK13" s="26">
        <f t="shared" si="111"/>
        <v>43426.35</v>
      </c>
      <c r="AL13" s="26">
        <v>147427</v>
      </c>
      <c r="AM13" s="26">
        <v>112491</v>
      </c>
      <c r="AN13" s="26">
        <v>-51961</v>
      </c>
      <c r="AO13" s="26">
        <v>52911</v>
      </c>
      <c r="AP13" s="639">
        <v>167348</v>
      </c>
      <c r="AQ13" s="639">
        <v>118859</v>
      </c>
      <c r="AR13" s="26">
        <v>-147743</v>
      </c>
      <c r="AS13" s="26">
        <v>-77594</v>
      </c>
      <c r="AT13" s="26">
        <v>228778</v>
      </c>
      <c r="AU13" s="26">
        <v>90307</v>
      </c>
      <c r="AV13" s="50">
        <v>4576</v>
      </c>
      <c r="AW13" s="26">
        <v>-28807</v>
      </c>
      <c r="AX13" s="26">
        <v>82905</v>
      </c>
      <c r="AY13" s="26">
        <v>133417</v>
      </c>
      <c r="AZ13" s="26">
        <v>-130875</v>
      </c>
      <c r="BA13" s="26"/>
      <c r="BB13" s="26"/>
      <c r="BC13" s="311">
        <f t="shared" si="36"/>
        <v>0</v>
      </c>
      <c r="BD13" s="26">
        <f t="shared" si="4"/>
        <v>37813.666666666664</v>
      </c>
      <c r="BE13" s="93">
        <f t="shared" si="5"/>
        <v>112733.33835000001</v>
      </c>
      <c r="BF13" s="27"/>
      <c r="BG13" s="28"/>
      <c r="BH13" s="23" t="s">
        <v>726</v>
      </c>
      <c r="BI13" s="26">
        <f>418565+26850</f>
        <v>445415</v>
      </c>
      <c r="BJ13" s="26">
        <v>853747</v>
      </c>
      <c r="BK13" s="26">
        <v>792560</v>
      </c>
      <c r="BL13" s="26">
        <v>1723450</v>
      </c>
      <c r="BM13" s="26">
        <v>1142785</v>
      </c>
      <c r="BN13" s="26">
        <f>1228649+BH66*0.8</f>
        <v>1277222.6000000001</v>
      </c>
      <c r="BO13" s="29">
        <f>1874636+BI66</f>
        <v>1976630</v>
      </c>
      <c r="BP13" s="29">
        <f>BM50+BJ66*0.8</f>
        <v>1583553.7135999999</v>
      </c>
      <c r="BQ13" s="29">
        <f>BN50+BK65*0.8</f>
        <v>1365418.9440000001</v>
      </c>
      <c r="BR13" s="29">
        <f>BO50+BO66*0.8</f>
        <v>1152859.8500000001</v>
      </c>
      <c r="BS13" s="29">
        <v>1013647</v>
      </c>
      <c r="BT13" s="26">
        <v>1057871</v>
      </c>
      <c r="BU13" s="26">
        <v>967138</v>
      </c>
      <c r="BV13" s="26">
        <v>1167283</v>
      </c>
      <c r="BW13" s="26">
        <v>1313280</v>
      </c>
      <c r="BX13" s="26">
        <v>1257326</v>
      </c>
      <c r="BY13" s="26">
        <v>894446</v>
      </c>
      <c r="BZ13" s="26">
        <v>1180779</v>
      </c>
      <c r="CA13" s="26">
        <v>1622940</v>
      </c>
      <c r="CB13" s="26">
        <v>1658112</v>
      </c>
      <c r="CC13" s="750">
        <v>1992999</v>
      </c>
      <c r="CD13" s="750">
        <v>1582971</v>
      </c>
      <c r="CE13" s="750">
        <v>1784610</v>
      </c>
      <c r="CF13" s="750">
        <v>2022838</v>
      </c>
      <c r="CG13" s="750">
        <v>1812999</v>
      </c>
      <c r="CH13" s="750">
        <v>2174965</v>
      </c>
      <c r="CI13" s="750"/>
      <c r="CJ13" s="650">
        <f t="shared" si="39"/>
        <v>-0.18846028438962725</v>
      </c>
      <c r="CK13" s="89">
        <f t="shared" si="7"/>
        <v>1418421.9015200001</v>
      </c>
      <c r="CL13" s="90">
        <f t="shared" si="8"/>
        <v>1267249.5552363636</v>
      </c>
      <c r="CM13" s="35" t="s">
        <v>726</v>
      </c>
      <c r="CN13" s="36">
        <f t="shared" si="9"/>
        <v>-6.7757035573566228E-3</v>
      </c>
      <c r="CO13" s="36">
        <f t="shared" si="10"/>
        <v>0.11489937885579686</v>
      </c>
      <c r="CP13" s="36">
        <f t="shared" si="11"/>
        <v>-0.14243338043807408</v>
      </c>
      <c r="CQ13" s="36">
        <f t="shared" si="12"/>
        <v>0.1629092808030404</v>
      </c>
      <c r="CR13" s="36">
        <f t="shared" si="13"/>
        <v>-0.26496497591410456</v>
      </c>
      <c r="CS13" s="36">
        <f t="shared" si="14"/>
        <v>0.14918396370374279</v>
      </c>
      <c r="CT13" s="37">
        <f t="shared" si="15"/>
        <v>0.14606780226951932</v>
      </c>
      <c r="CU13" s="37">
        <f t="shared" si="40"/>
        <v>0.1576868971070941</v>
      </c>
      <c r="CV13" s="77">
        <f t="shared" si="41"/>
        <v>0.12378122681151256</v>
      </c>
      <c r="CW13" s="77">
        <f t="shared" si="42"/>
        <v>3.7668368796085663E-2</v>
      </c>
      <c r="CX13" s="77">
        <f t="shared" si="43"/>
        <v>0.14544215096577012</v>
      </c>
      <c r="CY13" s="77">
        <f t="shared" si="44"/>
        <v>0.10633716209254247</v>
      </c>
      <c r="CZ13" s="77">
        <f t="shared" si="45"/>
        <v>-5.3726562289973093E-2</v>
      </c>
      <c r="DA13" s="77">
        <f t="shared" si="46"/>
        <v>4.5328339400128335E-2</v>
      </c>
      <c r="DB13" s="77">
        <f t="shared" si="47"/>
        <v>0.1274275097465887</v>
      </c>
      <c r="DC13" s="77">
        <f t="shared" si="48"/>
        <v>9.4533160055546447E-2</v>
      </c>
      <c r="DD13" s="77">
        <f t="shared" si="49"/>
        <v>-0.16517822205029706</v>
      </c>
      <c r="DE13" s="77">
        <f t="shared" si="50"/>
        <v>-6.5714244579214237E-2</v>
      </c>
      <c r="DF13" s="77">
        <f t="shared" si="51"/>
        <v>0.14096516198996883</v>
      </c>
      <c r="DG13" s="77">
        <f t="shared" si="17"/>
        <v>5.4463751543924653E-2</v>
      </c>
      <c r="DH13" s="77">
        <f t="shared" si="18"/>
        <v>2.2960372784933659E-3</v>
      </c>
      <c r="DI13" s="77">
        <f t="shared" si="19"/>
        <v>-1.8198059219025491E-2</v>
      </c>
      <c r="DJ13" s="77">
        <f t="shared" si="20"/>
        <v>4.6455528098576157E-2</v>
      </c>
      <c r="DK13" s="77" t="str">
        <f t="shared" si="21"/>
        <v/>
      </c>
      <c r="DL13" s="22" t="s">
        <v>726</v>
      </c>
      <c r="DM13" s="26">
        <f t="shared" si="52"/>
        <v>873748</v>
      </c>
      <c r="DN13" s="26">
        <f t="shared" si="53"/>
        <v>669283</v>
      </c>
      <c r="DO13" s="26">
        <f t="shared" si="54"/>
        <v>750677</v>
      </c>
      <c r="DP13" s="26">
        <f t="shared" si="55"/>
        <v>863054</v>
      </c>
      <c r="DQ13" s="26">
        <f t="shared" si="56"/>
        <v>460664</v>
      </c>
      <c r="DR13" s="26">
        <f t="shared" si="57"/>
        <v>585196.83000000007</v>
      </c>
      <c r="DS13" s="26">
        <f t="shared" si="58"/>
        <v>459816.88000000006</v>
      </c>
      <c r="DT13" s="26">
        <f t="shared" si="59"/>
        <v>-330256.98900000018</v>
      </c>
      <c r="DU13" s="26">
        <f t="shared" si="60"/>
        <v>-489444.24300000002</v>
      </c>
      <c r="DV13" s="26">
        <f t="shared" si="61"/>
        <v>-13799.746999999981</v>
      </c>
      <c r="DW13" s="26">
        <f t="shared" si="62"/>
        <v>-853480</v>
      </c>
      <c r="DX13" s="26">
        <f t="shared" si="63"/>
        <v>1132191</v>
      </c>
      <c r="DY13" s="26">
        <f t="shared" si="64"/>
        <v>1834232</v>
      </c>
      <c r="DZ13" s="26">
        <f t="shared" si="65"/>
        <v>2819409</v>
      </c>
      <c r="EA13" s="26">
        <f t="shared" si="66"/>
        <v>600280</v>
      </c>
      <c r="EB13" s="359">
        <f t="shared" si="67"/>
        <v>1232096</v>
      </c>
      <c r="EC13" s="26">
        <f t="shared" si="114"/>
        <v>-34336</v>
      </c>
      <c r="ED13" s="26">
        <f t="shared" si="115"/>
        <v>287172</v>
      </c>
      <c r="EE13" s="26">
        <f t="shared" si="68"/>
        <v>287583</v>
      </c>
      <c r="EF13" s="26">
        <f t="shared" si="69"/>
        <v>1528864</v>
      </c>
      <c r="EG13" s="26">
        <f t="shared" si="70"/>
        <v>4488566</v>
      </c>
      <c r="EH13" s="26">
        <f t="shared" si="71"/>
        <v>747373</v>
      </c>
      <c r="EI13" s="26">
        <f t="shared" si="72"/>
        <v>1799441</v>
      </c>
      <c r="EJ13" s="26" t="str">
        <f t="shared" si="73"/>
        <v/>
      </c>
      <c r="EK13" s="360">
        <f t="shared" si="74"/>
        <v>1928610.6666666667</v>
      </c>
      <c r="EL13" s="359">
        <f t="shared" si="23"/>
        <v>589689.10210000002</v>
      </c>
      <c r="EM13" s="93">
        <f t="shared" si="75"/>
        <v>159158.63677777781</v>
      </c>
      <c r="EN13" s="404" t="s">
        <v>726</v>
      </c>
      <c r="EO13" s="33">
        <f t="shared" si="117"/>
        <v>5269654</v>
      </c>
      <c r="EP13" s="33">
        <f t="shared" si="117"/>
        <v>7129269.7199999997</v>
      </c>
      <c r="EQ13" s="33">
        <f t="shared" si="117"/>
        <v>9855375</v>
      </c>
      <c r="ER13" s="33">
        <f t="shared" si="117"/>
        <v>12501925</v>
      </c>
      <c r="ES13" s="33">
        <f t="shared" si="117"/>
        <v>14567253</v>
      </c>
      <c r="ET13" s="33">
        <f t="shared" si="118"/>
        <v>14444428.750000002</v>
      </c>
      <c r="EU13" s="34">
        <f t="shared" si="118"/>
        <v>16900360.75</v>
      </c>
      <c r="EV13" s="34">
        <f t="shared" si="118"/>
        <v>15341203.685999999</v>
      </c>
      <c r="EW13" s="34">
        <f t="shared" si="118"/>
        <v>13773984.048</v>
      </c>
      <c r="EX13" s="34">
        <f>IF(BR13&gt;0,EX12+BR13,EP26)</f>
        <v>11895092.707999999</v>
      </c>
      <c r="EY13" s="34">
        <f>IF(BS13&gt;0,EY12+BS13,EQ26)</f>
        <v>10614825</v>
      </c>
      <c r="EZ13" s="34">
        <f t="shared" si="77"/>
        <v>10761273</v>
      </c>
      <c r="FA13" s="34">
        <f t="shared" si="78"/>
        <v>12273426</v>
      </c>
      <c r="FB13" s="34">
        <f t="shared" si="79"/>
        <v>14993755</v>
      </c>
      <c r="FC13" s="34">
        <f t="shared" si="80"/>
        <v>12777660</v>
      </c>
      <c r="FD13" s="649">
        <f t="shared" si="81"/>
        <v>13490371</v>
      </c>
      <c r="FE13" s="649">
        <f t="shared" si="82"/>
        <v>13001152</v>
      </c>
      <c r="FF13" s="649">
        <f t="shared" si="83"/>
        <v>13625046</v>
      </c>
      <c r="FG13" s="649">
        <f t="shared" si="84"/>
        <v>15662406</v>
      </c>
      <c r="FH13" s="34">
        <f t="shared" si="119"/>
        <v>18176047</v>
      </c>
      <c r="FI13" s="34">
        <f t="shared" si="119"/>
        <v>24563772</v>
      </c>
      <c r="FJ13" s="34">
        <f t="shared" si="119"/>
        <v>19345949</v>
      </c>
      <c r="FK13" s="34">
        <f t="shared" si="119"/>
        <v>21223780</v>
      </c>
      <c r="FL13" s="34" t="str">
        <f t="shared" si="86"/>
        <v xml:space="preserve"> </v>
      </c>
      <c r="FM13" s="35" t="s">
        <v>726</v>
      </c>
      <c r="FN13" s="36">
        <f t="shared" si="87"/>
        <v>0.16580747047149585</v>
      </c>
      <c r="FO13" s="36">
        <f t="shared" si="88"/>
        <v>9.3878198789763279E-2</v>
      </c>
      <c r="FP13" s="36">
        <f t="shared" si="89"/>
        <v>7.6169298479256242E-2</v>
      </c>
      <c r="FQ13" s="36">
        <f t="shared" si="90"/>
        <v>6.9033688811922969E-2</v>
      </c>
      <c r="FR13" s="36">
        <f t="shared" si="91"/>
        <v>3.1623258002040605E-2</v>
      </c>
      <c r="FS13" s="36">
        <f t="shared" si="92"/>
        <v>4.0513670711969138E-2</v>
      </c>
      <c r="FT13" s="36">
        <f t="shared" si="93"/>
        <v>2.7207518632405527E-2</v>
      </c>
      <c r="FU13" s="36">
        <f t="shared" si="94"/>
        <v>-2.1527449589981294E-2</v>
      </c>
      <c r="FV13" s="36">
        <f t="shared" si="95"/>
        <v>-3.5533963252343675E-2</v>
      </c>
      <c r="FW13" s="36">
        <f t="shared" si="96"/>
        <v>-1.1601210128206075E-3</v>
      </c>
      <c r="FX13" s="36">
        <f t="shared" si="97"/>
        <v>-8.040452857206784E-2</v>
      </c>
      <c r="FY13" s="36">
        <f t="shared" si="98"/>
        <v>0.10520976468118595</v>
      </c>
      <c r="FZ13" s="36">
        <f t="shared" si="99"/>
        <v>0.14944743220026746</v>
      </c>
      <c r="GA13" s="36">
        <f t="shared" si="100"/>
        <v>0.18803888685656128</v>
      </c>
      <c r="GB13" s="36">
        <f t="shared" si="101"/>
        <v>4.697886780521629E-2</v>
      </c>
      <c r="GC13" s="36">
        <f t="shared" si="102"/>
        <v>9.1331513417977905E-2</v>
      </c>
      <c r="GD13" s="36">
        <f t="shared" si="103"/>
        <v>-2.640996736289215E-3</v>
      </c>
      <c r="GE13" s="36">
        <f t="shared" si="104"/>
        <v>2.1076772878418172E-2</v>
      </c>
      <c r="GF13" s="36">
        <f t="shared" si="105"/>
        <v>1.8361355209410356E-2</v>
      </c>
      <c r="GG13" s="36">
        <f t="shared" si="106"/>
        <v>8.4114219114860347E-2</v>
      </c>
      <c r="GH13" s="36">
        <f t="shared" si="107"/>
        <v>0.18273113754679046</v>
      </c>
      <c r="GI13" s="36">
        <f t="shared" si="108"/>
        <v>3.8632015415733807E-2</v>
      </c>
      <c r="GJ13" s="36">
        <f t="shared" si="109"/>
        <v>8.4784190186667968E-2</v>
      </c>
      <c r="GK13" s="36" t="str">
        <f t="shared" si="109"/>
        <v xml:space="preserve"> </v>
      </c>
      <c r="GL13" s="563">
        <f>A38</f>
        <v>31746</v>
      </c>
      <c r="GM13" s="215">
        <f>SUM(B36:B38)</f>
        <v>2654649</v>
      </c>
      <c r="GN13" s="215">
        <f>SUM(C36:C38)</f>
        <v>-193521</v>
      </c>
      <c r="GO13" s="564">
        <f t="shared" si="27"/>
        <v>688586</v>
      </c>
      <c r="GP13" s="121" t="e">
        <f t="shared" si="28"/>
        <v>#DIV/0!</v>
      </c>
      <c r="GQ13" s="121" t="e">
        <f t="shared" si="29"/>
        <v>#DIV/0!</v>
      </c>
      <c r="GR13" s="565">
        <f t="shared" si="113"/>
        <v>176814.75</v>
      </c>
      <c r="GS13" s="565">
        <f t="shared" si="122"/>
        <v>175494.25</v>
      </c>
      <c r="GT13" s="565">
        <f t="shared" si="116"/>
        <v>707259</v>
      </c>
      <c r="GU13" s="565">
        <f t="shared" si="123"/>
        <v>701977</v>
      </c>
      <c r="GV13" s="566">
        <f t="shared" si="124"/>
        <v>707259</v>
      </c>
      <c r="GW13" s="566">
        <f t="shared" ref="GW13:GW24" si="128">GV9</f>
        <v>701977</v>
      </c>
      <c r="GX13" s="565">
        <f t="shared" si="125"/>
        <v>5282</v>
      </c>
      <c r="GY13" s="565"/>
      <c r="GZ13" s="566">
        <f t="shared" si="126"/>
        <v>10767442</v>
      </c>
      <c r="HA13" s="567">
        <f t="shared" si="127"/>
        <v>6.5684960271901169E-2</v>
      </c>
      <c r="HC13" s="368">
        <v>11</v>
      </c>
      <c r="HD13" s="369" t="s">
        <v>1327</v>
      </c>
      <c r="HE13" s="377" t="s">
        <v>1409</v>
      </c>
      <c r="HF13" s="371">
        <v>0.01</v>
      </c>
      <c r="HG13" s="377" t="s">
        <v>1246</v>
      </c>
      <c r="HH13" s="371"/>
      <c r="HI13" s="377"/>
      <c r="HJ13" s="373">
        <v>0.01</v>
      </c>
    </row>
    <row r="14" spans="1:219" ht="17" thickBot="1">
      <c r="A14" s="24">
        <v>31016</v>
      </c>
      <c r="B14" s="25">
        <f t="shared" si="0"/>
        <v>577807</v>
      </c>
      <c r="C14" s="25">
        <f t="shared" si="1"/>
        <v>-235946</v>
      </c>
      <c r="D14" s="25">
        <f t="shared" si="110"/>
        <v>-124548</v>
      </c>
      <c r="E14" s="25"/>
      <c r="F14" s="25"/>
      <c r="G14" s="25"/>
      <c r="H14" s="25"/>
      <c r="I14" s="25"/>
      <c r="J14" s="25"/>
      <c r="K14" s="25"/>
      <c r="L14" s="25">
        <f t="shared" si="30"/>
        <v>232928</v>
      </c>
      <c r="M14" s="25"/>
      <c r="N14" s="25"/>
      <c r="O14" s="25"/>
      <c r="P14" s="25">
        <f t="shared" si="31"/>
        <v>347835.3593688212</v>
      </c>
      <c r="Q14" s="25">
        <f t="shared" si="32"/>
        <v>-222153.80880728277</v>
      </c>
      <c r="R14" s="25">
        <f t="shared" si="2"/>
        <v>577807</v>
      </c>
      <c r="S14" s="25">
        <f t="shared" si="33"/>
        <v>132392</v>
      </c>
      <c r="T14" s="25">
        <f t="shared" si="34"/>
        <v>1418522.2143234741</v>
      </c>
      <c r="U14" s="25">
        <f t="shared" si="35"/>
        <v>776443.85114146117</v>
      </c>
      <c r="V14" s="25"/>
      <c r="W14" s="25"/>
      <c r="Y14" s="25"/>
      <c r="Z14" s="25"/>
      <c r="AA14" s="38" t="s">
        <v>727</v>
      </c>
      <c r="AB14" s="274">
        <v>-235946</v>
      </c>
      <c r="AC14" s="39">
        <v>32694</v>
      </c>
      <c r="AD14" s="39">
        <v>-43418</v>
      </c>
      <c r="AE14" s="39">
        <v>193079</v>
      </c>
      <c r="AF14" s="270">
        <f>-272355-166309</f>
        <v>-438664</v>
      </c>
      <c r="AG14" s="39">
        <v>11662.31</v>
      </c>
      <c r="AH14" s="39">
        <f t="shared" si="3"/>
        <v>-7874</v>
      </c>
      <c r="AI14" s="39">
        <f t="shared" si="3"/>
        <v>-218842.198</v>
      </c>
      <c r="AJ14" s="278">
        <f t="shared" si="3"/>
        <v>169580.72</v>
      </c>
      <c r="AK14" s="39">
        <f t="shared" si="111"/>
        <v>50042.01</v>
      </c>
      <c r="AL14" s="39">
        <v>8520</v>
      </c>
      <c r="AM14" s="39">
        <v>-10286</v>
      </c>
      <c r="AN14" s="39">
        <v>26466</v>
      </c>
      <c r="AO14" s="39">
        <f>-180691+999</f>
        <v>-179692</v>
      </c>
      <c r="AP14" s="39">
        <v>-71978</v>
      </c>
      <c r="AQ14" s="39">
        <v>-280000</v>
      </c>
      <c r="AR14" s="39">
        <v>-218758</v>
      </c>
      <c r="AS14" s="39">
        <v>-121470</v>
      </c>
      <c r="AT14" s="39">
        <v>-211179</v>
      </c>
      <c r="AU14" s="39">
        <v>-57392</v>
      </c>
      <c r="AV14" s="50">
        <v>-120778</v>
      </c>
      <c r="AW14" s="39">
        <v>-201599</v>
      </c>
      <c r="AX14" s="39">
        <v>137712</v>
      </c>
      <c r="AY14" s="39">
        <v>-678217</v>
      </c>
      <c r="AZ14" s="39">
        <v>196114</v>
      </c>
      <c r="BA14" s="39"/>
      <c r="BB14" s="39"/>
      <c r="BC14" s="311">
        <f t="shared" si="36"/>
        <v>0</v>
      </c>
      <c r="BD14" s="39">
        <f t="shared" si="4"/>
        <v>-54504</v>
      </c>
      <c r="BE14" s="747">
        <f t="shared" si="5"/>
        <v>-21631.615800000007</v>
      </c>
      <c r="BF14" s="27"/>
      <c r="BG14" s="28"/>
      <c r="BH14" s="40" t="s">
        <v>727</v>
      </c>
      <c r="BI14" s="41">
        <v>577807</v>
      </c>
      <c r="BJ14" s="41">
        <v>763976</v>
      </c>
      <c r="BK14" s="41">
        <v>912067</v>
      </c>
      <c r="BL14" s="41">
        <v>1596316</v>
      </c>
      <c r="BM14" s="41">
        <v>1460414</v>
      </c>
      <c r="BN14" s="26">
        <f>1228649+BH67*0.8</f>
        <v>1267341.8</v>
      </c>
      <c r="BO14" s="42">
        <v>1657065</v>
      </c>
      <c r="BP14" s="42">
        <f>BM51+BJ67*0.8</f>
        <v>1159654.3356000001</v>
      </c>
      <c r="BQ14" s="42">
        <f>BN51+BK66*0.8</f>
        <v>1174880.2431999999</v>
      </c>
      <c r="BR14" s="42">
        <f>BO51+BO67*0.8</f>
        <v>1212117</v>
      </c>
      <c r="BS14" s="42">
        <v>1012613</v>
      </c>
      <c r="BT14" s="42">
        <v>1180180</v>
      </c>
      <c r="BU14" s="644">
        <v>1218168</v>
      </c>
      <c r="BV14" s="41">
        <v>1248664</v>
      </c>
      <c r="BW14" s="41">
        <v>1085253</v>
      </c>
      <c r="BX14" s="41">
        <v>1186632</v>
      </c>
      <c r="BY14" s="41">
        <v>1010365</v>
      </c>
      <c r="BZ14" s="41">
        <v>1292775</v>
      </c>
      <c r="CA14" s="41">
        <v>1381548</v>
      </c>
      <c r="CB14" s="41">
        <v>2225883</v>
      </c>
      <c r="CC14" s="788">
        <v>2394920</v>
      </c>
      <c r="CD14" s="788">
        <v>1723064</v>
      </c>
      <c r="CE14" s="788">
        <v>2312266</v>
      </c>
      <c r="CF14" s="788">
        <v>1958823</v>
      </c>
      <c r="CG14" s="788">
        <v>2109752</v>
      </c>
      <c r="CH14" s="788"/>
      <c r="CI14" s="788"/>
      <c r="CJ14" s="789">
        <f t="shared" si="39"/>
        <v>-0.21847050294576609</v>
      </c>
      <c r="CK14" s="89">
        <f t="shared" si="7"/>
        <v>1243265.91576</v>
      </c>
      <c r="CL14" s="90">
        <f t="shared" si="8"/>
        <v>1217874.9435272729</v>
      </c>
      <c r="CM14" s="43" t="s">
        <v>727</v>
      </c>
      <c r="CN14" s="44">
        <f t="shared" si="9"/>
        <v>-0.40834742396682627</v>
      </c>
      <c r="CO14" s="44">
        <f t="shared" si="10"/>
        <v>4.2794538048315657E-2</v>
      </c>
      <c r="CP14" s="44">
        <f t="shared" si="11"/>
        <v>-4.7603958919684629E-2</v>
      </c>
      <c r="CQ14" s="44">
        <f t="shared" si="12"/>
        <v>0.12095286898082835</v>
      </c>
      <c r="CR14" s="44">
        <f t="shared" si="13"/>
        <v>-0.3003696212169974</v>
      </c>
      <c r="CS14" s="44">
        <f t="shared" si="14"/>
        <v>9.2021820790571252E-3</v>
      </c>
      <c r="CT14" s="45">
        <f t="shared" si="15"/>
        <v>-4.7517749756346315E-3</v>
      </c>
      <c r="CU14" s="45">
        <f t="shared" si="40"/>
        <v>-0.18871330126728841</v>
      </c>
      <c r="CV14" s="78">
        <f t="shared" si="41"/>
        <v>0.14433872812272006</v>
      </c>
      <c r="CW14" s="78">
        <f t="shared" si="42"/>
        <v>4.1284801714685959E-2</v>
      </c>
      <c r="CX14" s="78">
        <f t="shared" si="43"/>
        <v>8.4138757847272358E-3</v>
      </c>
      <c r="CY14" s="78">
        <f t="shared" si="44"/>
        <v>-8.7156196512396412E-3</v>
      </c>
      <c r="CZ14" s="78">
        <f t="shared" si="45"/>
        <v>2.1726067340465356E-2</v>
      </c>
      <c r="DA14" s="561">
        <f t="shared" si="46"/>
        <v>-0.14390740823792469</v>
      </c>
      <c r="DB14" s="561">
        <f t="shared" si="47"/>
        <v>-6.6323705163680732E-2</v>
      </c>
      <c r="DC14" s="561">
        <f t="shared" si="48"/>
        <v>-0.23596194945020865</v>
      </c>
      <c r="DD14" s="561">
        <f t="shared" si="49"/>
        <v>-0.21651383410945549</v>
      </c>
      <c r="DE14" s="561">
        <f t="shared" si="50"/>
        <v>-9.3960666009166333E-2</v>
      </c>
      <c r="DF14" s="561">
        <f t="shared" si="51"/>
        <v>-0.15285679542078887</v>
      </c>
      <c r="DG14" s="748">
        <f t="shared" si="17"/>
        <v>-2.5783924851396054E-2</v>
      </c>
      <c r="DH14" s="561">
        <f t="shared" si="18"/>
        <v>-5.0430912097272559E-2</v>
      </c>
      <c r="DI14" s="561">
        <f t="shared" si="19"/>
        <v>-0.11700029714508572</v>
      </c>
      <c r="DJ14" s="561">
        <f t="shared" si="20"/>
        <v>5.9557161676035544E-2</v>
      </c>
      <c r="DK14" s="561" t="str">
        <f t="shared" si="21"/>
        <v/>
      </c>
      <c r="DL14" s="38" t="s">
        <v>727</v>
      </c>
      <c r="DM14" s="39">
        <f t="shared" si="52"/>
        <v>637802</v>
      </c>
      <c r="DN14" s="39">
        <f t="shared" si="53"/>
        <v>701977</v>
      </c>
      <c r="DO14" s="39">
        <f t="shared" si="54"/>
        <v>707259</v>
      </c>
      <c r="DP14" s="648">
        <f t="shared" si="55"/>
        <v>1056133</v>
      </c>
      <c r="DQ14" s="39">
        <f t="shared" si="56"/>
        <v>22000</v>
      </c>
      <c r="DR14" s="39">
        <f t="shared" si="57"/>
        <v>596859.14000000013</v>
      </c>
      <c r="DS14" s="39">
        <f t="shared" si="58"/>
        <v>451942.88000000006</v>
      </c>
      <c r="DT14" s="39">
        <f t="shared" si="59"/>
        <v>-549099.18700000015</v>
      </c>
      <c r="DU14" s="39">
        <f t="shared" si="60"/>
        <v>-319863.52300000004</v>
      </c>
      <c r="DV14" s="39">
        <f t="shared" si="61"/>
        <v>36242.263000000021</v>
      </c>
      <c r="DW14" s="39">
        <f t="shared" si="62"/>
        <v>-844960</v>
      </c>
      <c r="DX14" s="39">
        <f t="shared" si="63"/>
        <v>1121905</v>
      </c>
      <c r="DY14" s="39">
        <f t="shared" si="64"/>
        <v>1860698</v>
      </c>
      <c r="DZ14" s="39">
        <f t="shared" si="65"/>
        <v>2639717</v>
      </c>
      <c r="EA14" s="39">
        <f t="shared" si="66"/>
        <v>528302</v>
      </c>
      <c r="EB14" s="39">
        <f t="shared" si="67"/>
        <v>952096</v>
      </c>
      <c r="EC14" s="39">
        <f t="shared" si="114"/>
        <v>-253094</v>
      </c>
      <c r="ED14" s="39">
        <f t="shared" si="115"/>
        <v>165702</v>
      </c>
      <c r="EE14" s="39">
        <f t="shared" si="68"/>
        <v>76404</v>
      </c>
      <c r="EF14" s="39">
        <f t="shared" si="69"/>
        <v>1471472</v>
      </c>
      <c r="EG14" s="39">
        <f t="shared" si="70"/>
        <v>4367788</v>
      </c>
      <c r="EH14" s="39">
        <f t="shared" si="71"/>
        <v>545774</v>
      </c>
      <c r="EI14" s="39">
        <f t="shared" si="72"/>
        <v>1937153</v>
      </c>
      <c r="EJ14" s="39" t="str">
        <f t="shared" si="73"/>
        <v/>
      </c>
      <c r="EK14" s="360">
        <f t="shared" si="74"/>
        <v>1874106.6666666667</v>
      </c>
      <c r="EL14" s="359">
        <f t="shared" si="23"/>
        <v>517194.35529999994</v>
      </c>
      <c r="EM14" s="93">
        <f t="shared" si="75"/>
        <v>128501.50811111106</v>
      </c>
      <c r="EN14" s="405" t="s">
        <v>727</v>
      </c>
      <c r="EO14" s="46">
        <f t="shared" si="117"/>
        <v>5847461</v>
      </c>
      <c r="EP14" s="46">
        <f t="shared" si="117"/>
        <v>7893245.7199999997</v>
      </c>
      <c r="EQ14" s="46">
        <f t="shared" si="117"/>
        <v>10767442</v>
      </c>
      <c r="ER14" s="46">
        <f t="shared" si="117"/>
        <v>14098241</v>
      </c>
      <c r="ES14" s="46">
        <f t="shared" si="117"/>
        <v>16027667</v>
      </c>
      <c r="ET14" s="46">
        <f t="shared" si="118"/>
        <v>15711770.550000003</v>
      </c>
      <c r="EU14" s="47">
        <f t="shared" si="118"/>
        <v>18557425.75</v>
      </c>
      <c r="EV14" s="47">
        <f t="shared" si="118"/>
        <v>16500858.021599999</v>
      </c>
      <c r="EW14" s="47">
        <f t="shared" si="118"/>
        <v>14948864.291200001</v>
      </c>
      <c r="EX14" s="47">
        <f>IF(BR14&gt;0,EX13+BR14," ")</f>
        <v>13107209.707999999</v>
      </c>
      <c r="EY14" s="47">
        <f>IF(BS14&gt;0,EY13+BS14," ")</f>
        <v>11627438</v>
      </c>
      <c r="EZ14" s="34">
        <f t="shared" si="77"/>
        <v>11941453</v>
      </c>
      <c r="FA14" s="34">
        <f t="shared" si="78"/>
        <v>13491594</v>
      </c>
      <c r="FB14" s="34">
        <f t="shared" si="79"/>
        <v>16242419</v>
      </c>
      <c r="FC14" s="34">
        <f t="shared" si="80"/>
        <v>13862913</v>
      </c>
      <c r="FD14" s="649">
        <f t="shared" si="81"/>
        <v>14677003</v>
      </c>
      <c r="FE14" s="649">
        <f t="shared" si="82"/>
        <v>14011517</v>
      </c>
      <c r="FF14" s="649">
        <f t="shared" si="83"/>
        <v>14917821</v>
      </c>
      <c r="FG14" s="649">
        <f t="shared" si="84"/>
        <v>17043954</v>
      </c>
      <c r="FH14" s="47">
        <f t="shared" si="119"/>
        <v>20401930</v>
      </c>
      <c r="FI14" s="47">
        <f t="shared" si="119"/>
        <v>26958692</v>
      </c>
      <c r="FJ14" s="47">
        <f t="shared" si="119"/>
        <v>21069013</v>
      </c>
      <c r="FK14" s="47">
        <f t="shared" si="119"/>
        <v>23536046</v>
      </c>
      <c r="FL14" s="34" t="str">
        <f t="shared" si="86"/>
        <v xml:space="preserve"> </v>
      </c>
      <c r="FM14" s="43" t="s">
        <v>727</v>
      </c>
      <c r="FN14" s="44">
        <f t="shared" si="87"/>
        <v>0.10907332259248929</v>
      </c>
      <c r="FO14" s="44">
        <f t="shared" si="88"/>
        <v>8.8933884095527688E-2</v>
      </c>
      <c r="FP14" s="44">
        <f t="shared" si="89"/>
        <v>6.5684960271901169E-2</v>
      </c>
      <c r="FQ14" s="44">
        <f t="shared" si="90"/>
        <v>7.4912395099502135E-2</v>
      </c>
      <c r="FR14" s="44">
        <f t="shared" si="91"/>
        <v>1.3726264714633764E-3</v>
      </c>
      <c r="FS14" s="44">
        <f t="shared" si="92"/>
        <v>3.7988025480680157E-2</v>
      </c>
      <c r="FT14" s="44">
        <f t="shared" si="93"/>
        <v>2.43537485257081E-2</v>
      </c>
      <c r="FU14" s="44">
        <f t="shared" si="94"/>
        <v>-3.3277008158073766E-2</v>
      </c>
      <c r="FV14" s="44">
        <f t="shared" si="95"/>
        <v>-2.1397178860490106E-2</v>
      </c>
      <c r="FW14" s="44">
        <f t="shared" si="96"/>
        <v>2.7650631833470644E-3</v>
      </c>
      <c r="FX14" s="44">
        <f t="shared" si="97"/>
        <v>-7.2669490905907214E-2</v>
      </c>
      <c r="FY14" s="44">
        <f t="shared" si="98"/>
        <v>9.3950459797480262E-2</v>
      </c>
      <c r="FZ14" s="44">
        <f t="shared" si="99"/>
        <v>0.13791535677696795</v>
      </c>
      <c r="GA14" s="44">
        <f t="shared" si="100"/>
        <v>0.1625199423805038</v>
      </c>
      <c r="GB14" s="44">
        <f t="shared" si="101"/>
        <v>3.8109017924299174E-2</v>
      </c>
      <c r="GC14" s="44">
        <f t="shared" si="102"/>
        <v>6.4869919288018135E-2</v>
      </c>
      <c r="GD14" s="44">
        <f t="shared" si="103"/>
        <v>-1.8063283226220257E-2</v>
      </c>
      <c r="GE14" s="44">
        <f t="shared" si="104"/>
        <v>1.1107654395370477E-2</v>
      </c>
      <c r="GF14" s="44">
        <f t="shared" si="105"/>
        <v>4.4827626265595416E-3</v>
      </c>
      <c r="GG14" s="44">
        <f t="shared" si="106"/>
        <v>7.2124156881236232E-2</v>
      </c>
      <c r="GH14" s="44">
        <f t="shared" si="107"/>
        <v>0.1620178011603827</v>
      </c>
      <c r="GI14" s="44">
        <f t="shared" si="108"/>
        <v>2.5904108559807713E-2</v>
      </c>
      <c r="GJ14" s="44">
        <f t="shared" si="109"/>
        <v>8.2305795969297477E-2</v>
      </c>
      <c r="GK14" s="44" t="str">
        <f t="shared" si="109"/>
        <v xml:space="preserve"> </v>
      </c>
      <c r="GL14" s="24">
        <f>A41</f>
        <v>31836</v>
      </c>
      <c r="GM14" s="97">
        <f>SUM(B39:B41)</f>
        <v>2651840</v>
      </c>
      <c r="GN14" s="97">
        <f>SUM(C39:C41)</f>
        <v>-443065</v>
      </c>
      <c r="GO14" s="5">
        <f t="shared" si="27"/>
        <v>249544</v>
      </c>
      <c r="GP14" s="25" t="e">
        <f t="shared" si="28"/>
        <v>#DIV/0!</v>
      </c>
      <c r="GQ14" s="25" t="e">
        <f t="shared" si="29"/>
        <v>#DIV/0!</v>
      </c>
      <c r="GR14" s="48">
        <f t="shared" si="113"/>
        <v>12084</v>
      </c>
      <c r="GS14" s="48">
        <f t="shared" si="122"/>
        <v>260991.25</v>
      </c>
      <c r="GT14" s="48">
        <f t="shared" si="116"/>
        <v>48336</v>
      </c>
      <c r="GU14" s="48">
        <f t="shared" si="123"/>
        <v>1043965</v>
      </c>
      <c r="GV14" s="75">
        <f t="shared" si="124"/>
        <v>48336</v>
      </c>
      <c r="GW14" s="75">
        <f t="shared" si="128"/>
        <v>1043965</v>
      </c>
      <c r="GX14" s="48">
        <f t="shared" si="125"/>
        <v>-995629</v>
      </c>
      <c r="GY14" s="48">
        <f t="shared" ref="GY14:GZ24" si="129">(GV14+GW14)/2</f>
        <v>546150.5</v>
      </c>
      <c r="GZ14" s="75">
        <f t="shared" si="126"/>
        <v>11195551</v>
      </c>
      <c r="HA14" s="157">
        <f t="shared" si="127"/>
        <v>4.3174293074097021E-3</v>
      </c>
      <c r="HC14" s="368">
        <v>12</v>
      </c>
      <c r="HD14" s="369" t="s">
        <v>1328</v>
      </c>
      <c r="HE14" s="377" t="s">
        <v>1409</v>
      </c>
      <c r="HF14" s="371">
        <v>0.01</v>
      </c>
      <c r="HG14" s="377" t="s">
        <v>1246</v>
      </c>
      <c r="HH14" s="371"/>
      <c r="HI14" s="377"/>
      <c r="HJ14" s="373">
        <v>0.01</v>
      </c>
    </row>
    <row r="15" spans="1:219" ht="14" thickBot="1">
      <c r="A15" s="24">
        <v>31047</v>
      </c>
      <c r="B15" s="25">
        <f t="shared" ref="B15:B26" si="130">BJ3</f>
        <v>429371</v>
      </c>
      <c r="C15" s="25">
        <f t="shared" ref="C15:C26" si="131">AC3</f>
        <v>23394</v>
      </c>
      <c r="D15" s="25">
        <f t="shared" si="110"/>
        <v>-215570</v>
      </c>
      <c r="E15" s="25">
        <f t="shared" ref="E15:E46" si="132">AVERAGE(C4:C15)</f>
        <v>53933</v>
      </c>
      <c r="F15" s="25"/>
      <c r="G15" s="25"/>
      <c r="H15" s="25">
        <f t="shared" ref="H15:H57" si="133">SUM(C4:C15)</f>
        <v>647196</v>
      </c>
      <c r="I15" s="25"/>
      <c r="J15" s="25"/>
      <c r="K15" s="25"/>
      <c r="L15" s="25">
        <f t="shared" si="30"/>
        <v>259340</v>
      </c>
      <c r="M15" s="25"/>
      <c r="N15" s="25"/>
      <c r="O15" s="25"/>
      <c r="P15" s="25">
        <f t="shared" si="31"/>
        <v>347835.3593688212</v>
      </c>
      <c r="Q15" s="25">
        <f t="shared" si="32"/>
        <v>-222153.80880728277</v>
      </c>
      <c r="R15" s="25">
        <f t="shared" ref="R15:R26" si="134">BJ3</f>
        <v>429371</v>
      </c>
      <c r="S15" s="25">
        <f t="shared" si="33"/>
        <v>148436</v>
      </c>
      <c r="T15" s="25">
        <f t="shared" si="34"/>
        <v>1418522.2143234741</v>
      </c>
      <c r="U15" s="25">
        <f t="shared" si="35"/>
        <v>776443.85114146117</v>
      </c>
      <c r="V15" s="25"/>
      <c r="W15" s="25">
        <f>SUM(R4:R15)</f>
        <v>5930555</v>
      </c>
      <c r="Y15" s="25">
        <f>W15*0.1733</f>
        <v>1027765.1815000001</v>
      </c>
      <c r="Z15" s="25"/>
      <c r="AB15" s="275">
        <f>SUM(AB3:AB14)</f>
        <v>637802</v>
      </c>
      <c r="AC15" s="48">
        <f>SUM(AC3:AC14)</f>
        <v>701977</v>
      </c>
      <c r="AD15" s="48">
        <f t="shared" ref="AD15:AN15" si="135">SUM(AD3:AD14)</f>
        <v>707259</v>
      </c>
      <c r="AE15" s="48">
        <f t="shared" si="135"/>
        <v>1056133</v>
      </c>
      <c r="AF15" s="271">
        <f t="shared" si="135"/>
        <v>22000</v>
      </c>
      <c r="AG15" s="48">
        <f t="shared" si="135"/>
        <v>596859.14000000013</v>
      </c>
      <c r="AH15" s="48">
        <f t="shared" si="135"/>
        <v>451942.88000000006</v>
      </c>
      <c r="AI15" s="48">
        <f t="shared" si="135"/>
        <v>-549099.18700000015</v>
      </c>
      <c r="AJ15" s="279">
        <f t="shared" si="135"/>
        <v>-319863.52300000004</v>
      </c>
      <c r="AK15" s="48">
        <f t="shared" si="135"/>
        <v>36242.263000000021</v>
      </c>
      <c r="AL15" s="48">
        <f t="shared" si="135"/>
        <v>-844960</v>
      </c>
      <c r="AM15" s="61">
        <f t="shared" si="135"/>
        <v>1121905</v>
      </c>
      <c r="AN15" s="61">
        <f t="shared" si="135"/>
        <v>1860698</v>
      </c>
      <c r="AO15" s="61">
        <f t="shared" ref="AO15:BB15" si="136">SUM(AO3:AO14)</f>
        <v>2639717</v>
      </c>
      <c r="AP15" s="61">
        <f t="shared" si="136"/>
        <v>528302</v>
      </c>
      <c r="AQ15" s="61">
        <f t="shared" si="136"/>
        <v>952096</v>
      </c>
      <c r="AR15" s="61">
        <f t="shared" si="136"/>
        <v>-253094</v>
      </c>
      <c r="AS15" s="61">
        <f t="shared" si="136"/>
        <v>165702</v>
      </c>
      <c r="AT15" s="61">
        <f t="shared" si="136"/>
        <v>76404</v>
      </c>
      <c r="AU15" s="61">
        <f t="shared" si="136"/>
        <v>1471472</v>
      </c>
      <c r="AV15" s="61">
        <f t="shared" si="136"/>
        <v>4367788</v>
      </c>
      <c r="AW15" s="61">
        <f t="shared" si="136"/>
        <v>545774</v>
      </c>
      <c r="AX15" s="61">
        <f t="shared" si="136"/>
        <v>1937153</v>
      </c>
      <c r="AY15" s="61">
        <f t="shared" ref="AY15:AZ15" si="137">SUM(AY3:AY14)</f>
        <v>1945713</v>
      </c>
      <c r="AZ15" s="61">
        <f t="shared" si="137"/>
        <v>57398</v>
      </c>
      <c r="BA15" s="61">
        <f t="shared" ref="BA15" si="138">SUM(BA3:BA14)</f>
        <v>573127</v>
      </c>
      <c r="BB15" s="61">
        <f t="shared" si="136"/>
        <v>0</v>
      </c>
      <c r="BC15" s="312">
        <f>IF(AP15&lt;&gt;"",H326/H171 -1,"NA")</f>
        <v>-1</v>
      </c>
      <c r="BD15" s="745">
        <f>SUM(BD3:BD14)</f>
        <v>1874106.6666666667</v>
      </c>
      <c r="BE15" s="746">
        <f>SUM(BE3:BE14)</f>
        <v>343185.75729999994</v>
      </c>
      <c r="BF15" s="27"/>
      <c r="BI15" s="61">
        <f>SUM(BI3:BI14)</f>
        <v>5847461</v>
      </c>
      <c r="BJ15" s="61">
        <f t="shared" ref="BJ15:CL15" si="139">SUM(BJ3:BJ14)</f>
        <v>7893245.7199999997</v>
      </c>
      <c r="BK15" s="61">
        <f t="shared" si="139"/>
        <v>10767442</v>
      </c>
      <c r="BL15" s="61">
        <f t="shared" si="139"/>
        <v>14098241</v>
      </c>
      <c r="BM15" s="61">
        <f t="shared" si="139"/>
        <v>16027667</v>
      </c>
      <c r="BN15" s="61">
        <f t="shared" si="139"/>
        <v>15711770.550000003</v>
      </c>
      <c r="BO15" s="61">
        <f t="shared" si="139"/>
        <v>18557425.75</v>
      </c>
      <c r="BP15" s="61">
        <f t="shared" si="139"/>
        <v>16500858.021599999</v>
      </c>
      <c r="BQ15" s="61">
        <f t="shared" si="139"/>
        <v>14948864.291200001</v>
      </c>
      <c r="BR15" s="61">
        <f t="shared" si="139"/>
        <v>13105212.707999999</v>
      </c>
      <c r="BS15" s="61">
        <f t="shared" si="139"/>
        <v>11625440</v>
      </c>
      <c r="BT15" s="61">
        <f t="shared" si="139"/>
        <v>11939454</v>
      </c>
      <c r="BU15" s="61">
        <f t="shared" si="139"/>
        <v>13489594</v>
      </c>
      <c r="BV15" s="61">
        <f t="shared" si="139"/>
        <v>16240418</v>
      </c>
      <c r="BW15" s="61">
        <f t="shared" si="139"/>
        <v>13860911</v>
      </c>
      <c r="BX15" s="61">
        <f t="shared" si="139"/>
        <v>14675000</v>
      </c>
      <c r="BY15" s="61">
        <f t="shared" ref="BY15:CI15" si="140">SUM(BY3:BY14)</f>
        <v>14009513</v>
      </c>
      <c r="BZ15" s="61">
        <f t="shared" si="140"/>
        <v>14915816</v>
      </c>
      <c r="CA15" s="61">
        <f t="shared" si="140"/>
        <v>17041948</v>
      </c>
      <c r="CB15" s="61">
        <f t="shared" si="140"/>
        <v>20401930</v>
      </c>
      <c r="CC15" s="61">
        <f t="shared" si="140"/>
        <v>26958692</v>
      </c>
      <c r="CD15" s="61">
        <f t="shared" si="140"/>
        <v>21069013</v>
      </c>
      <c r="CE15" s="61">
        <f t="shared" si="140"/>
        <v>23536046</v>
      </c>
      <c r="CF15" s="61">
        <f t="shared" ref="CF15:CH15" si="141">SUM(CF3:CF14)</f>
        <v>24985368</v>
      </c>
      <c r="CG15" s="61">
        <f t="shared" ref="CG15" si="142">SUM(CG3:CG14)</f>
        <v>21872689</v>
      </c>
      <c r="CH15" s="61">
        <f t="shared" si="141"/>
        <v>18697398</v>
      </c>
      <c r="CI15" s="61">
        <f t="shared" si="140"/>
        <v>0</v>
      </c>
      <c r="CJ15" s="650">
        <f t="shared" si="39"/>
        <v>-0.22691152765932743</v>
      </c>
      <c r="CK15" s="91">
        <f t="shared" si="139"/>
        <v>14947560.15416</v>
      </c>
      <c r="CL15" s="92">
        <f t="shared" si="139"/>
        <v>13743238.276436362</v>
      </c>
      <c r="CM15" s="80" t="s">
        <v>875</v>
      </c>
      <c r="CN15" s="140">
        <f>CN16</f>
        <v>0.36665630259888965</v>
      </c>
      <c r="CO15" s="140">
        <f t="shared" ref="CO15:DK15" si="143">MIN(CO3:CO14)</f>
        <v>-0.33610165913268092</v>
      </c>
      <c r="CP15" s="140">
        <f t="shared" si="143"/>
        <v>-0.26323495567847249</v>
      </c>
      <c r="CQ15" s="140">
        <f t="shared" si="143"/>
        <v>-0.38313410617178345</v>
      </c>
      <c r="CR15" s="140">
        <f t="shared" si="143"/>
        <v>-0.3003696212169974</v>
      </c>
      <c r="CS15" s="140">
        <f t="shared" si="143"/>
        <v>-0.1670984054810791</v>
      </c>
      <c r="CT15" s="140">
        <f t="shared" si="143"/>
        <v>-0.32750856249320265</v>
      </c>
      <c r="CU15" s="140">
        <f t="shared" si="143"/>
        <v>-0.27787261397595864</v>
      </c>
      <c r="CV15" s="140">
        <f t="shared" si="143"/>
        <v>-0.28704133329634712</v>
      </c>
      <c r="CW15" s="140">
        <f t="shared" si="143"/>
        <v>-0.25465991517803988</v>
      </c>
      <c r="CX15" s="140">
        <f t="shared" si="143"/>
        <v>-0.50421223587555619</v>
      </c>
      <c r="CY15" s="140">
        <f t="shared" si="143"/>
        <v>-7.7844623841347854E-2</v>
      </c>
      <c r="CZ15" s="140">
        <f t="shared" si="143"/>
        <v>-5.3726562289973093E-2</v>
      </c>
      <c r="DA15" s="562">
        <f t="shared" si="143"/>
        <v>-0.14390740823792469</v>
      </c>
      <c r="DB15" s="562">
        <f t="shared" si="143"/>
        <v>-0.30869062805200087</v>
      </c>
      <c r="DC15" s="562">
        <f t="shared" si="143"/>
        <v>-0.2529957772175318</v>
      </c>
      <c r="DD15" s="562">
        <f t="shared" si="143"/>
        <v>-0.36785650132156328</v>
      </c>
      <c r="DE15" s="562">
        <f t="shared" si="143"/>
        <v>-0.41917873112340986</v>
      </c>
      <c r="DF15" s="562">
        <f t="shared" si="143"/>
        <v>-0.15285679542078887</v>
      </c>
      <c r="DG15" s="562">
        <f t="shared" si="143"/>
        <v>-0.26036182728883317</v>
      </c>
      <c r="DH15" s="562">
        <f t="shared" si="143"/>
        <v>-5.0430912097272559E-2</v>
      </c>
      <c r="DI15" s="562">
        <f t="shared" si="143"/>
        <v>-0.13370938477295591</v>
      </c>
      <c r="DJ15" s="562">
        <f t="shared" si="143"/>
        <v>-0.35271090031426117</v>
      </c>
      <c r="DK15" s="562">
        <f t="shared" si="143"/>
        <v>0</v>
      </c>
      <c r="DL15" s="6"/>
      <c r="DM15" s="6"/>
      <c r="DN15" s="6"/>
      <c r="DO15" s="6"/>
      <c r="DP15" s="6"/>
      <c r="DQ15" s="6"/>
      <c r="DR15" s="6"/>
      <c r="DS15" s="6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122"/>
      <c r="EL15" s="661"/>
      <c r="EM15" s="361"/>
      <c r="FC15" s="4"/>
      <c r="FD15" s="4"/>
      <c r="FE15" s="4"/>
      <c r="FF15" s="4"/>
      <c r="FG15" s="4"/>
      <c r="FH15" s="4"/>
      <c r="FI15" s="4"/>
      <c r="FJ15" s="4"/>
      <c r="FK15" s="4"/>
      <c r="FL15" s="4"/>
      <c r="FN15" s="4">
        <f t="shared" ref="FN15:GJ15" si="144">AB15/BI15</f>
        <v>0.10907332259248929</v>
      </c>
      <c r="FO15" s="4">
        <f t="shared" si="144"/>
        <v>8.8933884095527688E-2</v>
      </c>
      <c r="FP15" s="4">
        <f t="shared" si="144"/>
        <v>6.5684960271901169E-2</v>
      </c>
      <c r="FQ15" s="4">
        <f t="shared" si="144"/>
        <v>7.4912395099502135E-2</v>
      </c>
      <c r="FR15" s="4">
        <f t="shared" si="144"/>
        <v>1.3726264714633764E-3</v>
      </c>
      <c r="FS15" s="4">
        <f t="shared" si="144"/>
        <v>3.7988025480680157E-2</v>
      </c>
      <c r="FT15" s="4">
        <f t="shared" si="144"/>
        <v>2.43537485257081E-2</v>
      </c>
      <c r="FU15" s="4">
        <f t="shared" si="144"/>
        <v>-3.3277008158073766E-2</v>
      </c>
      <c r="FV15" s="4">
        <f t="shared" si="144"/>
        <v>-2.1397178860490106E-2</v>
      </c>
      <c r="FW15" s="4">
        <f t="shared" si="144"/>
        <v>2.7654845295167281E-3</v>
      </c>
      <c r="FX15" s="4">
        <f t="shared" si="144"/>
        <v>-7.2681980208921124E-2</v>
      </c>
      <c r="FY15" s="4">
        <f t="shared" si="144"/>
        <v>9.3966189743685091E-2</v>
      </c>
      <c r="FZ15" s="4">
        <f t="shared" si="144"/>
        <v>0.13793580444303957</v>
      </c>
      <c r="GA15" s="4">
        <f t="shared" si="144"/>
        <v>0.1625399666437157</v>
      </c>
      <c r="GB15" s="4">
        <f t="shared" si="144"/>
        <v>3.8114522198432699E-2</v>
      </c>
      <c r="GC15" s="4">
        <f t="shared" si="144"/>
        <v>6.4878773424190794E-2</v>
      </c>
      <c r="GD15" s="4">
        <f t="shared" si="144"/>
        <v>-1.8065867100448104E-2</v>
      </c>
      <c r="GE15" s="4">
        <f t="shared" si="144"/>
        <v>1.1109147498199226E-2</v>
      </c>
      <c r="GF15" s="4">
        <f t="shared" si="144"/>
        <v>4.4832902905231255E-3</v>
      </c>
      <c r="GG15" s="4">
        <f t="shared" si="144"/>
        <v>7.2124156881236232E-2</v>
      </c>
      <c r="GH15" s="4">
        <f t="shared" si="144"/>
        <v>0.1620178011603827</v>
      </c>
      <c r="GI15" s="4">
        <f t="shared" si="144"/>
        <v>2.5904108559807713E-2</v>
      </c>
      <c r="GJ15" s="4">
        <f t="shared" si="144"/>
        <v>8.2305795969297477E-2</v>
      </c>
      <c r="GK15" s="4" t="e">
        <f>BB15/CI15</f>
        <v>#DIV/0!</v>
      </c>
      <c r="GL15" s="24">
        <f>A44</f>
        <v>31928</v>
      </c>
      <c r="GM15" s="97">
        <f>SUM(B42:B44)</f>
        <v>3259833</v>
      </c>
      <c r="GN15" s="97">
        <f>SUM(C42:C44)</f>
        <v>359347</v>
      </c>
      <c r="GO15" s="5">
        <f>((GN14-GN15)^2)^0.5</f>
        <v>802412</v>
      </c>
      <c r="GP15" s="25" t="e">
        <f t="shared" si="28"/>
        <v>#DIV/0!</v>
      </c>
      <c r="GQ15" s="25" t="e">
        <f t="shared" si="29"/>
        <v>#DIV/0!</v>
      </c>
      <c r="GR15" s="48" t="e">
        <f>AVERAGE(GQ12:GQ15)</f>
        <v>#DIV/0!</v>
      </c>
      <c r="GS15" s="48">
        <f>GR11</f>
        <v>254420.5</v>
      </c>
      <c r="GT15" s="48" t="e">
        <f>SUM(GQ12:GQ15)</f>
        <v>#DIV/0!</v>
      </c>
      <c r="GU15" s="48">
        <f>GT11</f>
        <v>1017682</v>
      </c>
      <c r="GV15" s="75" t="e">
        <f>SUM(GQ12:GQ15)</f>
        <v>#DIV/0!</v>
      </c>
      <c r="GW15" s="75">
        <f>GV11</f>
        <v>1017682</v>
      </c>
      <c r="GX15" s="48" t="e">
        <f t="shared" ref="GX15:GY28" si="145">GV15-GW15</f>
        <v>#DIV/0!</v>
      </c>
      <c r="GY15" s="48" t="e">
        <f t="shared" si="129"/>
        <v>#DIV/0!</v>
      </c>
      <c r="GZ15" s="75" t="e">
        <f>SUM(GP12:GP15)</f>
        <v>#DIV/0!</v>
      </c>
      <c r="HA15" s="157" t="e">
        <f t="shared" ref="HA15:HB24" si="146">GV15/GZ15</f>
        <v>#DIV/0!</v>
      </c>
      <c r="HC15" s="368">
        <v>13</v>
      </c>
      <c r="HD15" s="369" t="s">
        <v>1168</v>
      </c>
      <c r="HE15" s="377" t="s">
        <v>1409</v>
      </c>
      <c r="HF15" s="371">
        <v>0.01</v>
      </c>
      <c r="HG15" s="377" t="s">
        <v>1246</v>
      </c>
      <c r="HH15" s="371"/>
      <c r="HI15" s="377"/>
      <c r="HJ15" s="381">
        <v>0.01</v>
      </c>
    </row>
    <row r="16" spans="1:219">
      <c r="A16" s="24">
        <v>31078</v>
      </c>
      <c r="B16" s="25">
        <f t="shared" si="130"/>
        <v>405501.72</v>
      </c>
      <c r="C16" s="25">
        <f t="shared" si="131"/>
        <v>-95212</v>
      </c>
      <c r="D16" s="25">
        <f t="shared" si="110"/>
        <v>-307764</v>
      </c>
      <c r="E16" s="25">
        <f t="shared" si="132"/>
        <v>36323.833333333336</v>
      </c>
      <c r="F16" s="25"/>
      <c r="G16" s="25"/>
      <c r="H16" s="25">
        <f t="shared" si="133"/>
        <v>435886</v>
      </c>
      <c r="I16" s="25"/>
      <c r="J16" s="25"/>
      <c r="K16" s="25">
        <f>AVERAGE(C14+C15+C16)</f>
        <v>-307764</v>
      </c>
      <c r="L16" s="25">
        <f t="shared" si="30"/>
        <v>118606</v>
      </c>
      <c r="M16" s="25"/>
      <c r="N16" s="25"/>
      <c r="O16" s="25"/>
      <c r="P16" s="25">
        <f t="shared" si="31"/>
        <v>347835.3593688212</v>
      </c>
      <c r="Q16" s="25">
        <f t="shared" si="32"/>
        <v>-222153.80880728277</v>
      </c>
      <c r="R16" s="25">
        <f t="shared" si="134"/>
        <v>405501.72</v>
      </c>
      <c r="S16" s="25">
        <f t="shared" si="33"/>
        <v>23869.280000000028</v>
      </c>
      <c r="T16" s="25">
        <f t="shared" si="34"/>
        <v>1418522.2143234741</v>
      </c>
      <c r="U16" s="25">
        <f t="shared" si="35"/>
        <v>776443.85114146117</v>
      </c>
      <c r="V16" s="25"/>
      <c r="W16" s="25">
        <f t="shared" ref="W16:W79" si="147">SUM(R5:R16)</f>
        <v>5932208.7199999997</v>
      </c>
      <c r="Y16" s="25">
        <f t="shared" ref="Y16:Y79" si="148">W16*0.1733</f>
        <v>1028051.771176</v>
      </c>
      <c r="Z16" s="25"/>
      <c r="AB16" s="275"/>
      <c r="AC16" s="48"/>
      <c r="AD16" s="48"/>
      <c r="AE16" s="48"/>
      <c r="AF16" s="271"/>
      <c r="AG16" s="48"/>
      <c r="AH16" s="48"/>
      <c r="AI16" s="48"/>
      <c r="AJ16" s="279"/>
      <c r="AK16" s="48"/>
      <c r="AL16" s="48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289"/>
      <c r="BE16" s="289"/>
      <c r="BF16" s="59"/>
      <c r="BN16" s="6"/>
      <c r="BO16" s="6"/>
      <c r="BP16" s="6"/>
      <c r="BQ16" s="6"/>
      <c r="BR16" s="6"/>
      <c r="BS16" s="6"/>
      <c r="BT16" s="157">
        <f>(BT15-BS15)/BS15</f>
        <v>2.7010934639893201E-2</v>
      </c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L16" s="80" t="s">
        <v>1626</v>
      </c>
      <c r="CM16" s="80"/>
      <c r="CN16" s="140">
        <f t="shared" ref="CN16:DL16" si="149">MAX(CN3:CN14)</f>
        <v>0.36665630259888965</v>
      </c>
      <c r="CO16" s="140">
        <f t="shared" si="149"/>
        <v>0.2226922835491674</v>
      </c>
      <c r="CP16" s="140">
        <f t="shared" si="149"/>
        <v>0.25706137302203869</v>
      </c>
      <c r="CQ16" s="140">
        <f t="shared" si="149"/>
        <v>0.18454685266185306</v>
      </c>
      <c r="CR16" s="140">
        <f t="shared" si="149"/>
        <v>0.2109172850108941</v>
      </c>
      <c r="CS16" s="140">
        <f t="shared" si="149"/>
        <v>0.14918396370374279</v>
      </c>
      <c r="CT16" s="140">
        <f t="shared" si="149"/>
        <v>0.17542587215487254</v>
      </c>
      <c r="CU16" s="140">
        <f t="shared" si="149"/>
        <v>0.17834741221155018</v>
      </c>
      <c r="CV16" s="140">
        <f t="shared" si="149"/>
        <v>0.14433872812272006</v>
      </c>
      <c r="CW16" s="140">
        <f t="shared" si="149"/>
        <v>0.14586675073379354</v>
      </c>
      <c r="CX16" s="140">
        <f t="shared" si="149"/>
        <v>0.14544215096577012</v>
      </c>
      <c r="CY16" s="140">
        <f t="shared" si="149"/>
        <v>0.22926901747499753</v>
      </c>
      <c r="CZ16" s="140">
        <f t="shared" si="149"/>
        <v>0.32265154890338882</v>
      </c>
      <c r="DA16" s="140">
        <f t="shared" si="149"/>
        <v>0.32592272447514192</v>
      </c>
      <c r="DB16" s="140">
        <f t="shared" si="149"/>
        <v>0.30667445803766469</v>
      </c>
      <c r="DC16" s="140">
        <f t="shared" si="149"/>
        <v>0.26975754715414957</v>
      </c>
      <c r="DD16" s="140">
        <f t="shared" si="149"/>
        <v>0.23471677173235656</v>
      </c>
      <c r="DE16" s="140">
        <f t="shared" si="149"/>
        <v>0.27465515124745454</v>
      </c>
      <c r="DF16" s="140">
        <f t="shared" si="149"/>
        <v>0.14096516198996883</v>
      </c>
      <c r="DG16" s="140">
        <f t="shared" si="149"/>
        <v>0.32491223045310352</v>
      </c>
      <c r="DH16" s="140">
        <f t="shared" si="149"/>
        <v>0.26762933394128807</v>
      </c>
      <c r="DI16" s="140">
        <f t="shared" si="149"/>
        <v>0.20544880991953118</v>
      </c>
      <c r="DJ16" s="140">
        <f t="shared" si="149"/>
        <v>0.27001408952385436</v>
      </c>
      <c r="DK16" s="140">
        <f t="shared" si="149"/>
        <v>0</v>
      </c>
      <c r="DL16" s="140">
        <f t="shared" si="149"/>
        <v>0</v>
      </c>
      <c r="DM16" s="6"/>
      <c r="DN16" s="6"/>
      <c r="DO16" s="6"/>
      <c r="DP16" s="6"/>
      <c r="DQ16" s="6"/>
      <c r="DR16" s="6"/>
      <c r="DS16" s="6"/>
      <c r="DU16" s="55"/>
      <c r="DV16" s="55"/>
      <c r="DW16" s="55"/>
      <c r="DX16" s="55"/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T16" s="80" t="s">
        <v>728</v>
      </c>
      <c r="GF16" s="6"/>
      <c r="GG16" s="6"/>
      <c r="GM16" s="24">
        <f>A47</f>
        <v>32020</v>
      </c>
      <c r="GN16" s="97">
        <f>SUM(B45:B47)</f>
        <v>3315364</v>
      </c>
      <c r="GO16" s="97">
        <f>SUM(C45:C47)</f>
        <v>379693</v>
      </c>
      <c r="GP16" s="5">
        <f>((GN15-GO16)^2)^0.5</f>
        <v>20346</v>
      </c>
      <c r="GQ16" s="25" t="e">
        <f>$GN$115+1.023*$GO$115</f>
        <v>#DIV/0!</v>
      </c>
      <c r="GR16" s="25" t="e">
        <f>$GN$115-1.023*$GO$115</f>
        <v>#DIV/0!</v>
      </c>
      <c r="GS16" s="48">
        <f>AVERAGE(GO13:GO16)</f>
        <v>530058.75</v>
      </c>
      <c r="GT16" s="48">
        <f>GR12</f>
        <v>289075.5</v>
      </c>
      <c r="GU16" s="48">
        <f>SUM(GD13:GD16)</f>
        <v>-3.8770147062957575E-2</v>
      </c>
      <c r="GV16" s="48">
        <f>GT12</f>
        <v>1156302</v>
      </c>
      <c r="GW16" s="75">
        <f>SUM(GD13:GD16)</f>
        <v>-3.8770147062957575E-2</v>
      </c>
      <c r="GX16" s="75">
        <f>GV12</f>
        <v>1156302</v>
      </c>
      <c r="GY16" s="48">
        <f t="shared" si="145"/>
        <v>-1156302.0387701471</v>
      </c>
      <c r="GZ16" s="48">
        <f t="shared" si="129"/>
        <v>578150.98061492643</v>
      </c>
      <c r="HA16" s="75">
        <f>SUM(GN16:GN16)</f>
        <v>3315364</v>
      </c>
      <c r="HB16" s="157">
        <f t="shared" si="146"/>
        <v>-1.169408459009556E-8</v>
      </c>
      <c r="HD16" s="368">
        <v>14</v>
      </c>
      <c r="HE16" s="369" t="s">
        <v>1378</v>
      </c>
      <c r="HF16" s="377"/>
      <c r="HG16" s="371">
        <v>0.01</v>
      </c>
      <c r="HH16" s="377"/>
      <c r="HI16" s="377"/>
      <c r="HJ16" s="377"/>
      <c r="HK16" s="373"/>
    </row>
    <row r="17" spans="1:219" ht="14" thickBot="1">
      <c r="A17" s="24">
        <v>31106</v>
      </c>
      <c r="B17" s="25">
        <f t="shared" si="130"/>
        <v>390289</v>
      </c>
      <c r="C17" s="25">
        <f t="shared" si="131"/>
        <v>-54312</v>
      </c>
      <c r="D17" s="25">
        <f t="shared" si="110"/>
        <v>-126130</v>
      </c>
      <c r="E17" s="25">
        <f t="shared" si="132"/>
        <v>31306.75</v>
      </c>
      <c r="F17" s="25"/>
      <c r="G17" s="25"/>
      <c r="H17" s="25">
        <f t="shared" si="133"/>
        <v>375681</v>
      </c>
      <c r="I17" s="25"/>
      <c r="J17" s="25"/>
      <c r="K17" s="25"/>
      <c r="L17" s="25">
        <f t="shared" si="30"/>
        <v>40900</v>
      </c>
      <c r="M17" s="25"/>
      <c r="N17" s="25"/>
      <c r="O17" s="25"/>
      <c r="P17" s="25">
        <f t="shared" si="31"/>
        <v>347835.3593688212</v>
      </c>
      <c r="Q17" s="25">
        <f t="shared" si="32"/>
        <v>-222153.80880728277</v>
      </c>
      <c r="R17" s="25">
        <f t="shared" si="134"/>
        <v>390289</v>
      </c>
      <c r="S17" s="25">
        <f t="shared" si="33"/>
        <v>15212.719999999972</v>
      </c>
      <c r="T17" s="25">
        <f t="shared" si="34"/>
        <v>1418522.2143234741</v>
      </c>
      <c r="U17" s="25">
        <f t="shared" si="35"/>
        <v>776443.85114146117</v>
      </c>
      <c r="V17" s="25"/>
      <c r="W17" s="25">
        <f t="shared" si="147"/>
        <v>5984116.7199999997</v>
      </c>
      <c r="Y17" s="25">
        <f t="shared" si="148"/>
        <v>1037047.427576</v>
      </c>
      <c r="Z17" s="25"/>
      <c r="AB17" s="275"/>
      <c r="AC17" s="48"/>
      <c r="AD17" s="48"/>
      <c r="AE17" s="48"/>
      <c r="AF17" s="271"/>
      <c r="AG17" s="48"/>
      <c r="AH17" s="48"/>
      <c r="AI17" s="48"/>
      <c r="AJ17" s="279"/>
      <c r="AK17" s="48"/>
      <c r="AL17" s="290">
        <f>AL15/'Stock$ Cal Data'!$D$28</f>
        <v>-6.8729461525947615</v>
      </c>
      <c r="AM17" s="290">
        <f>AM15/'Stock$ Cal Data'!$D$28</f>
        <v>9.125630388807549</v>
      </c>
      <c r="AN17" s="290">
        <f>AN15/'Stock$ Cal Data'!$D$28</f>
        <v>15.135008947454043</v>
      </c>
      <c r="AO17" s="290">
        <f>AO15/'Stock$ Cal Data'!$D$28</f>
        <v>21.471587766390108</v>
      </c>
      <c r="AP17" s="290">
        <f>AP15/'Stock$ Cal Data'!$D$28</f>
        <v>4.297234423295917</v>
      </c>
      <c r="AQ17" s="290">
        <f>AQ15/'Stock$ Cal Data'!$D$28</f>
        <v>7.7443956401496665</v>
      </c>
      <c r="AR17" s="318"/>
      <c r="AS17" s="318"/>
      <c r="AT17" s="318"/>
      <c r="AU17" s="318"/>
      <c r="AV17" s="318"/>
      <c r="AW17" s="318"/>
      <c r="AX17" s="318"/>
      <c r="AY17" s="318"/>
      <c r="AZ17" s="318"/>
      <c r="BA17" s="318"/>
      <c r="BB17" s="318"/>
      <c r="BC17" s="290"/>
      <c r="BD17" s="289"/>
      <c r="BE17" s="289"/>
      <c r="BF17" s="59"/>
      <c r="BH17" s="80" t="s">
        <v>1353</v>
      </c>
      <c r="BI17" s="4">
        <f t="shared" ref="BI17:BV17" si="150">(BI3+BI4+BI5)/BI15</f>
        <v>0.18615019407568514</v>
      </c>
      <c r="BJ17" s="4">
        <f t="shared" si="150"/>
        <v>0.15521646778278683</v>
      </c>
      <c r="BK17" s="4">
        <f t="shared" si="150"/>
        <v>0.20652361071459685</v>
      </c>
      <c r="BL17" s="4">
        <f t="shared" si="150"/>
        <v>0.18809722432748879</v>
      </c>
      <c r="BM17" s="4">
        <f t="shared" si="150"/>
        <v>0.20806902214776485</v>
      </c>
      <c r="BN17" s="4">
        <f t="shared" si="150"/>
        <v>0.24112298406750851</v>
      </c>
      <c r="BO17" s="4">
        <f t="shared" si="150"/>
        <v>0.19029008158634286</v>
      </c>
      <c r="BP17" s="4">
        <f t="shared" si="150"/>
        <v>0.24629813328979383</v>
      </c>
      <c r="BQ17" s="4">
        <f t="shared" si="150"/>
        <v>0.23085064443534253</v>
      </c>
      <c r="BR17" s="4">
        <f t="shared" si="150"/>
        <v>0.24026054045486159</v>
      </c>
      <c r="BS17" s="4">
        <f t="shared" si="150"/>
        <v>0.25159331603793061</v>
      </c>
      <c r="BT17" s="4">
        <f t="shared" si="150"/>
        <v>0.2461934188950349</v>
      </c>
      <c r="BU17" s="4">
        <f t="shared" si="150"/>
        <v>0.22426864737367189</v>
      </c>
      <c r="BV17" s="4">
        <f t="shared" si="150"/>
        <v>0.21290394126555118</v>
      </c>
      <c r="BW17" s="4">
        <f t="shared" ref="BW17:CC17" si="151">(BW3+BW4+BW5)/BW15</f>
        <v>0.26419944547656354</v>
      </c>
      <c r="BX17" s="4">
        <f t="shared" si="151"/>
        <v>0.18183202725724021</v>
      </c>
      <c r="BY17" s="4">
        <f t="shared" si="151"/>
        <v>0.2534012424271993</v>
      </c>
      <c r="BZ17" s="4">
        <f t="shared" si="151"/>
        <v>0.20676957935120679</v>
      </c>
      <c r="CA17" s="4">
        <f t="shared" si="151"/>
        <v>0.22532107245016825</v>
      </c>
      <c r="CB17" s="4">
        <f t="shared" si="151"/>
        <v>0.17077256906576976</v>
      </c>
      <c r="CC17" s="4">
        <f t="shared" si="151"/>
        <v>0.17808030152204712</v>
      </c>
      <c r="CD17" s="4">
        <f t="shared" ref="CD17:CI17" si="152">(CD3+CD4+CD5)/CD15</f>
        <v>0.23895666114022521</v>
      </c>
      <c r="CE17" s="4">
        <f t="shared" si="152"/>
        <v>0.16271552154512275</v>
      </c>
      <c r="CF17" s="4">
        <f t="shared" si="152"/>
        <v>0.21062659553383403</v>
      </c>
      <c r="CG17" s="4">
        <f t="shared" si="152"/>
        <v>0.20089875552109757</v>
      </c>
      <c r="CH17" s="4">
        <f t="shared" si="152"/>
        <v>0.16698248601222479</v>
      </c>
      <c r="CI17" s="4" t="e">
        <f t="shared" si="152"/>
        <v>#DIV/0!</v>
      </c>
      <c r="CJ17" s="118">
        <f t="shared" ref="CJ17:CK20" si="153">AVERAGE(BM17:BQ17)</f>
        <v>0.22332617310535055</v>
      </c>
      <c r="CK17" s="118">
        <f t="shared" si="153"/>
        <v>0.22976447676676987</v>
      </c>
      <c r="CL17" s="80" t="s">
        <v>1280</v>
      </c>
      <c r="CM17" s="4">
        <f t="shared" ref="CM17:DK17" si="154">AVERAGE(CN3:CN14)</f>
        <v>8.5582620535825368E-2</v>
      </c>
      <c r="CN17" s="4">
        <f t="shared" si="154"/>
        <v>4.3259030482988535E-2</v>
      </c>
      <c r="CO17" s="4">
        <f t="shared" si="154"/>
        <v>4.6461300923320729E-2</v>
      </c>
      <c r="CP17" s="4">
        <f t="shared" si="154"/>
        <v>4.7787405592052419E-2</v>
      </c>
      <c r="CQ17" s="4">
        <f t="shared" si="154"/>
        <v>-4.8937898013798288E-3</v>
      </c>
      <c r="CR17" s="4">
        <f t="shared" si="154"/>
        <v>3.3454461498458758E-2</v>
      </c>
      <c r="CS17" s="4">
        <f t="shared" si="154"/>
        <v>-2.9482993783219876E-3</v>
      </c>
      <c r="CT17" s="4">
        <f t="shared" si="154"/>
        <v>-4.6581928242856042E-2</v>
      </c>
      <c r="CU17" s="4">
        <f t="shared" si="154"/>
        <v>-3.2040317115616342E-2</v>
      </c>
      <c r="CV17" s="4">
        <f t="shared" si="154"/>
        <v>-5.9116511293725547E-3</v>
      </c>
      <c r="CW17" s="4">
        <f t="shared" si="154"/>
        <v>-8.2701595303290618E-2</v>
      </c>
      <c r="CX17" s="4">
        <f t="shared" si="154"/>
        <v>8.7994631369439566E-2</v>
      </c>
      <c r="CY17" s="4">
        <f t="shared" si="154"/>
        <v>0.12691157140135859</v>
      </c>
      <c r="CZ17" s="4">
        <f t="shared" si="154"/>
        <v>0.14687438327899352</v>
      </c>
      <c r="DA17" s="4">
        <f t="shared" si="154"/>
        <v>8.5896012213132825E-4</v>
      </c>
      <c r="DB17" s="4">
        <f t="shared" si="154"/>
        <v>4.2845878261996657E-2</v>
      </c>
      <c r="DC17" s="4">
        <f t="shared" si="154"/>
        <v>-5.2176956471147784E-2</v>
      </c>
      <c r="DD17" s="4">
        <f t="shared" si="154"/>
        <v>-3.8663192755094326E-2</v>
      </c>
      <c r="DE17" s="4">
        <f t="shared" si="154"/>
        <v>-1.869089650019376E-3</v>
      </c>
      <c r="DF17" s="4">
        <f t="shared" si="154"/>
        <v>4.4160793958384431E-2</v>
      </c>
      <c r="DG17" s="4">
        <f t="shared" si="154"/>
        <v>0.15058773252999669</v>
      </c>
      <c r="DH17" s="4">
        <f t="shared" si="154"/>
        <v>1.6800276696452957E-2</v>
      </c>
      <c r="DI17" s="4">
        <f t="shared" si="154"/>
        <v>3.8028291286526662E-2</v>
      </c>
      <c r="DJ17" s="4" t="e">
        <f t="shared" si="154"/>
        <v>#DIV/0!</v>
      </c>
      <c r="DK17" s="4" t="e">
        <f t="shared" si="154"/>
        <v>#DIV/0!</v>
      </c>
      <c r="DL17" s="6"/>
      <c r="DM17" s="6"/>
      <c r="DN17" s="6"/>
      <c r="DO17" s="6"/>
      <c r="DP17" s="6"/>
      <c r="DU17" s="55"/>
      <c r="DV17" s="55"/>
      <c r="DW17" s="55"/>
      <c r="DX17" s="55"/>
      <c r="DY17" s="55"/>
      <c r="DZ17" s="55"/>
      <c r="EA17" s="55"/>
      <c r="EB17" s="55"/>
      <c r="FW17" s="640"/>
      <c r="FX17" s="640"/>
      <c r="FY17" s="640"/>
      <c r="FZ17" s="640"/>
      <c r="GA17" s="640"/>
      <c r="GB17" s="640"/>
      <c r="GC17" s="640"/>
      <c r="GD17" s="640"/>
      <c r="GE17" s="640"/>
      <c r="GF17" s="640"/>
      <c r="GG17" s="640"/>
      <c r="GH17" s="640"/>
      <c r="GI17" s="640"/>
      <c r="GJ17" s="640"/>
      <c r="GK17" s="640"/>
      <c r="GL17" s="563">
        <f>A50</f>
        <v>32111</v>
      </c>
      <c r="GM17" s="215">
        <f>SUM(B48:B50)</f>
        <v>4871204</v>
      </c>
      <c r="GN17" s="215">
        <f>SUM(C48:C50)</f>
        <v>760158</v>
      </c>
      <c r="GO17" s="564">
        <f>((GO16-GN17)^2)^0.5</f>
        <v>380465</v>
      </c>
      <c r="GP17" s="121" t="e">
        <f t="shared" ref="GP17:GP44" si="155">$GN$115+1.023*$GO$115</f>
        <v>#DIV/0!</v>
      </c>
      <c r="GQ17" s="121" t="e">
        <f t="shared" ref="GQ17:GQ44" si="156">$GN$115-1.023*$GO$115</f>
        <v>#DIV/0!</v>
      </c>
      <c r="GR17" s="565">
        <f>AVERAGE(GO14:GO17)</f>
        <v>453028.5</v>
      </c>
      <c r="GS17" s="565">
        <f>GR13</f>
        <v>176814.75</v>
      </c>
      <c r="GT17" s="565">
        <f>SUM(GN16:GN17)</f>
        <v>4075522</v>
      </c>
      <c r="GU17" s="565">
        <f>GT13</f>
        <v>707259</v>
      </c>
      <c r="GV17" s="566">
        <f>SUM(GD14:GD17)</f>
        <v>-3.6129150326668358E-2</v>
      </c>
      <c r="GW17" s="566">
        <f>GV13</f>
        <v>707259</v>
      </c>
      <c r="GX17" s="565">
        <f t="shared" si="145"/>
        <v>-707259.03612915031</v>
      </c>
      <c r="GY17" s="565">
        <f t="shared" si="129"/>
        <v>353629.48193542485</v>
      </c>
      <c r="GZ17" s="566">
        <f>SUM(GA14:GA17)</f>
        <v>0.3250599090242195</v>
      </c>
      <c r="HA17" s="157">
        <f t="shared" si="146"/>
        <v>-0.1111461282171726</v>
      </c>
      <c r="HC17" s="394">
        <v>15</v>
      </c>
      <c r="HD17" s="395" t="s">
        <v>1548</v>
      </c>
      <c r="HE17" s="396"/>
      <c r="HF17" s="397">
        <v>0.01</v>
      </c>
      <c r="HG17" s="396"/>
      <c r="HH17" s="396"/>
      <c r="HI17" s="396"/>
      <c r="HJ17" s="398">
        <f>SUM(HM3:HM15)</f>
        <v>0</v>
      </c>
    </row>
    <row r="18" spans="1:219" ht="15" thickTop="1" thickBot="1">
      <c r="A18" s="24">
        <v>31137</v>
      </c>
      <c r="B18" s="25">
        <f t="shared" si="130"/>
        <v>322096</v>
      </c>
      <c r="C18" s="25">
        <f t="shared" si="131"/>
        <v>-108257</v>
      </c>
      <c r="D18" s="25">
        <f t="shared" si="110"/>
        <v>-257781</v>
      </c>
      <c r="E18" s="25">
        <f t="shared" si="132"/>
        <v>31788.833333333332</v>
      </c>
      <c r="F18" s="25"/>
      <c r="G18" s="25"/>
      <c r="H18" s="25">
        <f t="shared" si="133"/>
        <v>381466</v>
      </c>
      <c r="I18" s="25"/>
      <c r="J18" s="25"/>
      <c r="K18" s="25"/>
      <c r="L18" s="25">
        <f t="shared" si="30"/>
        <v>53945</v>
      </c>
      <c r="M18" s="25"/>
      <c r="N18" s="25"/>
      <c r="O18" s="25"/>
      <c r="P18" s="25">
        <f t="shared" si="31"/>
        <v>347835.3593688212</v>
      </c>
      <c r="Q18" s="25">
        <f t="shared" si="32"/>
        <v>-222153.80880728277</v>
      </c>
      <c r="R18" s="25">
        <f t="shared" si="134"/>
        <v>322096</v>
      </c>
      <c r="S18" s="25">
        <f t="shared" si="33"/>
        <v>68193</v>
      </c>
      <c r="T18" s="25">
        <f t="shared" si="34"/>
        <v>1418522.2143234741</v>
      </c>
      <c r="U18" s="25">
        <f t="shared" si="35"/>
        <v>776443.85114146117</v>
      </c>
      <c r="V18" s="25"/>
      <c r="W18" s="25">
        <f t="shared" si="147"/>
        <v>5951093.7199999997</v>
      </c>
      <c r="Y18" s="25">
        <f t="shared" si="148"/>
        <v>1031324.541676</v>
      </c>
      <c r="Z18" s="25"/>
      <c r="AA18" s="80" t="s">
        <v>1352</v>
      </c>
      <c r="AB18" s="275">
        <f>SUM(AB3:AB5)</f>
        <v>135991</v>
      </c>
      <c r="AC18" s="48">
        <f t="shared" ref="AC18:AM18" si="157">SUM(AC3:AC5)</f>
        <v>-126130</v>
      </c>
      <c r="AD18" s="48">
        <f t="shared" si="157"/>
        <v>215858</v>
      </c>
      <c r="AE18" s="48">
        <f t="shared" si="157"/>
        <v>-443065</v>
      </c>
      <c r="AF18" s="271">
        <f t="shared" si="157"/>
        <v>33229</v>
      </c>
      <c r="AG18" s="48">
        <f t="shared" si="157"/>
        <v>-93061</v>
      </c>
      <c r="AH18" s="48">
        <f t="shared" si="157"/>
        <v>-330557.32999999996</v>
      </c>
      <c r="AI18" s="48">
        <f t="shared" si="157"/>
        <v>-374970.90900000004</v>
      </c>
      <c r="AJ18" s="279">
        <f t="shared" si="157"/>
        <v>-266201.402</v>
      </c>
      <c r="AK18" s="48">
        <f t="shared" si="157"/>
        <v>84273.148000000001</v>
      </c>
      <c r="AL18" s="48">
        <f t="shared" si="157"/>
        <v>-265951</v>
      </c>
      <c r="AM18" s="48">
        <f t="shared" si="157"/>
        <v>406512</v>
      </c>
      <c r="AN18" s="48">
        <f t="shared" ref="AN18:AS18" si="158">SUM(AN3:AN5)</f>
        <v>475302</v>
      </c>
      <c r="AO18" s="48">
        <f t="shared" si="158"/>
        <v>594709</v>
      </c>
      <c r="AP18" s="48">
        <f t="shared" si="158"/>
        <v>485602</v>
      </c>
      <c r="AQ18" s="48">
        <f t="shared" si="158"/>
        <v>-156799</v>
      </c>
      <c r="AR18" s="48">
        <f t="shared" si="158"/>
        <v>50952</v>
      </c>
      <c r="AS18" s="48">
        <f t="shared" si="158"/>
        <v>-123170</v>
      </c>
      <c r="AT18" s="48">
        <f t="shared" ref="AT18:BB18" si="159">SUM(AT3:AT5)</f>
        <v>8693</v>
      </c>
      <c r="AU18" s="48">
        <f t="shared" si="159"/>
        <v>-470473</v>
      </c>
      <c r="AV18" s="48">
        <f t="shared" si="159"/>
        <v>397361</v>
      </c>
      <c r="AW18" s="48">
        <f t="shared" si="159"/>
        <v>304850</v>
      </c>
      <c r="AX18" s="48">
        <f t="shared" si="159"/>
        <v>-940389</v>
      </c>
      <c r="AY18" s="48">
        <f t="shared" ref="AY18:AZ18" si="160">SUM(AY3:AY5)</f>
        <v>114529</v>
      </c>
      <c r="AZ18" s="48">
        <f t="shared" si="160"/>
        <v>-878202</v>
      </c>
      <c r="BA18" s="48">
        <f t="shared" ref="BA18" si="161">SUM(BA3:BA5)</f>
        <v>-330839</v>
      </c>
      <c r="BB18" s="48">
        <f t="shared" si="159"/>
        <v>0</v>
      </c>
      <c r="BC18" s="311"/>
      <c r="BD18" s="48">
        <f>SUM(BD3:BD5)</f>
        <v>492174.33333333331</v>
      </c>
      <c r="BE18" s="48">
        <f>SUM(BE3:BE5)</f>
        <v>-77449.049299999999</v>
      </c>
      <c r="BF18" s="59"/>
      <c r="BH18" s="80" t="s">
        <v>1355</v>
      </c>
      <c r="BI18" s="4">
        <f>(BI6+BI7+BI8)/BI15</f>
        <v>0.20293919018869899</v>
      </c>
      <c r="BJ18" s="4">
        <f t="shared" ref="BJ18:BS18" si="162">(BJ6+BJ7+BJ8)/BJ15</f>
        <v>0.23672910565363725</v>
      </c>
      <c r="BK18" s="4">
        <f t="shared" si="162"/>
        <v>0.25684196859384056</v>
      </c>
      <c r="BL18" s="4">
        <f t="shared" si="162"/>
        <v>0.23122267522593776</v>
      </c>
      <c r="BM18" s="4">
        <f t="shared" si="162"/>
        <v>0.2688802431445575</v>
      </c>
      <c r="BN18" s="4">
        <f t="shared" si="162"/>
        <v>0.27506188027930434</v>
      </c>
      <c r="BO18" s="4">
        <f t="shared" si="162"/>
        <v>0.25139618839644284</v>
      </c>
      <c r="BP18" s="4">
        <f t="shared" si="162"/>
        <v>0.25434165882199705</v>
      </c>
      <c r="BQ18" s="4">
        <f t="shared" si="162"/>
        <v>0.28075889538114795</v>
      </c>
      <c r="BR18" s="4">
        <f t="shared" si="162"/>
        <v>0.22037727584818079</v>
      </c>
      <c r="BS18" s="4">
        <f t="shared" si="162"/>
        <v>0.24752422273909633</v>
      </c>
      <c r="BT18" s="4">
        <f t="shared" ref="BT18:BY18" si="163">(BT6+BT7+BT8)/BT15</f>
        <v>0.24333893325440176</v>
      </c>
      <c r="BU18" s="4">
        <f t="shared" si="163"/>
        <v>0.26401587772026347</v>
      </c>
      <c r="BV18" s="4">
        <f t="shared" si="163"/>
        <v>0.29182586310278469</v>
      </c>
      <c r="BW18" s="4">
        <f t="shared" si="163"/>
        <v>0.29314912995256948</v>
      </c>
      <c r="BX18" s="4">
        <f t="shared" si="163"/>
        <v>0.29395856899488926</v>
      </c>
      <c r="BY18" s="4">
        <f t="shared" si="163"/>
        <v>0.27493218358125654</v>
      </c>
      <c r="BZ18" s="4">
        <f t="shared" ref="BZ18:CE18" si="164">(BZ6+BZ7+BZ8)/BZ15</f>
        <v>0.3177602217672838</v>
      </c>
      <c r="CA18" s="4">
        <f t="shared" si="164"/>
        <v>0.26895921757301455</v>
      </c>
      <c r="CB18" s="4">
        <f t="shared" si="164"/>
        <v>0.2815286102834389</v>
      </c>
      <c r="CC18" s="4">
        <f t="shared" si="164"/>
        <v>0.28085457558549204</v>
      </c>
      <c r="CD18" s="4">
        <f t="shared" si="164"/>
        <v>0.24848786224584893</v>
      </c>
      <c r="CE18" s="4">
        <f t="shared" si="164"/>
        <v>0.32300523205979459</v>
      </c>
      <c r="CF18" s="4">
        <f>(CF6+CF7+CF8)/CF15</f>
        <v>0.28651645234923095</v>
      </c>
      <c r="CG18" s="4">
        <f>(CG6+CG7+CG8)/CG15</f>
        <v>0.26726873865394418</v>
      </c>
      <c r="CH18" s="4">
        <f>(CH6+CH7+CH8)/CH15</f>
        <v>0.28629299114240386</v>
      </c>
      <c r="CI18" s="4" t="e">
        <f>(CI6+CI7+CI8)/CI15</f>
        <v>#DIV/0!</v>
      </c>
      <c r="CJ18" s="118">
        <f t="shared" si="153"/>
        <v>0.2660877732046899</v>
      </c>
      <c r="CK18" s="118">
        <f t="shared" si="153"/>
        <v>0.25638717974541458</v>
      </c>
      <c r="CO18" s="6"/>
      <c r="CU18" s="57"/>
      <c r="DI18" s="6"/>
      <c r="DJ18" s="6"/>
      <c r="DK18" s="6"/>
      <c r="DL18" s="6"/>
      <c r="DM18" s="6"/>
      <c r="DN18" s="6"/>
      <c r="DO18" s="6"/>
      <c r="DU18" s="55"/>
      <c r="DV18" s="55"/>
      <c r="DW18" s="55"/>
      <c r="DX18" s="55"/>
      <c r="DY18" s="55"/>
      <c r="DZ18" s="55"/>
      <c r="EA18" s="55"/>
      <c r="FV18" s="640"/>
      <c r="FW18" s="640"/>
      <c r="FX18" s="640"/>
      <c r="FY18" s="640"/>
      <c r="FZ18" s="640"/>
      <c r="GA18" s="640"/>
      <c r="GB18" s="640"/>
      <c r="GC18" s="640"/>
      <c r="GD18" s="640"/>
      <c r="GE18" s="640"/>
      <c r="GF18" s="640"/>
      <c r="GG18" s="640"/>
      <c r="GH18" s="640"/>
      <c r="GI18" s="640"/>
      <c r="GJ18" s="640"/>
      <c r="GK18" s="640"/>
      <c r="GL18" s="24">
        <f>A53</f>
        <v>32202</v>
      </c>
      <c r="GM18" s="97">
        <f>SUM(B51:B53)</f>
        <v>3334861</v>
      </c>
      <c r="GN18" s="97">
        <f>SUM(C51:C53)</f>
        <v>33229</v>
      </c>
      <c r="GO18" s="5">
        <f>((GN17-GN18)^2)^0.5</f>
        <v>726929</v>
      </c>
      <c r="GP18" s="25" t="e">
        <f t="shared" si="155"/>
        <v>#DIV/0!</v>
      </c>
      <c r="GQ18" s="25" t="e">
        <f t="shared" si="156"/>
        <v>#DIV/0!</v>
      </c>
      <c r="GR18" s="48">
        <f>AVERAGE(GN16:GN18)</f>
        <v>1369583.6666666667</v>
      </c>
      <c r="GS18" s="48">
        <f>GR14</f>
        <v>12084</v>
      </c>
      <c r="GT18" s="48">
        <f>SUM(GM16:GM18)</f>
        <v>8238085</v>
      </c>
      <c r="GU18" s="48">
        <f>GT14</f>
        <v>48336</v>
      </c>
      <c r="GV18" s="75">
        <f>SUM(GC15:GC18)</f>
        <v>6.4878773424190794E-2</v>
      </c>
      <c r="GW18" s="75">
        <f>GV14</f>
        <v>48336</v>
      </c>
      <c r="GX18" s="48">
        <f t="shared" si="145"/>
        <v>-48335.935121226576</v>
      </c>
      <c r="GY18" s="48">
        <f t="shared" si="129"/>
        <v>24168.032439386712</v>
      </c>
      <c r="GZ18" s="75">
        <f>SUM(FZ15:FZ18)</f>
        <v>0.13793580444303957</v>
      </c>
      <c r="HA18" s="157">
        <f t="shared" si="146"/>
        <v>0.47035484141452488</v>
      </c>
      <c r="HB18" s="157"/>
      <c r="HC18" s="382"/>
      <c r="HD18" s="393" t="s">
        <v>1263</v>
      </c>
      <c r="HE18" s="383"/>
      <c r="HF18" s="399">
        <f>SUM(HF3:HF17)</f>
        <v>0.22000000000000003</v>
      </c>
      <c r="HG18" s="383"/>
      <c r="HH18" s="400">
        <f>SUM(HH3:HH17)</f>
        <v>0.09</v>
      </c>
      <c r="HI18" s="383"/>
      <c r="HJ18" s="384"/>
      <c r="HK18" s="53"/>
    </row>
    <row r="19" spans="1:219">
      <c r="A19" s="24">
        <v>31167</v>
      </c>
      <c r="B19" s="25">
        <f t="shared" si="130"/>
        <v>685017</v>
      </c>
      <c r="C19" s="25">
        <f t="shared" si="131"/>
        <v>152548</v>
      </c>
      <c r="D19" s="25">
        <f t="shared" si="110"/>
        <v>-10021</v>
      </c>
      <c r="E19" s="25">
        <f t="shared" si="132"/>
        <v>42506.75</v>
      </c>
      <c r="F19" s="25"/>
      <c r="G19" s="25"/>
      <c r="H19" s="25">
        <f t="shared" si="133"/>
        <v>510081</v>
      </c>
      <c r="I19" s="25"/>
      <c r="J19" s="25"/>
      <c r="K19" s="25"/>
      <c r="L19" s="25">
        <f t="shared" si="30"/>
        <v>260805</v>
      </c>
      <c r="M19" s="25"/>
      <c r="N19" s="25"/>
      <c r="O19" s="25"/>
      <c r="P19" s="25">
        <f t="shared" si="31"/>
        <v>347835.3593688212</v>
      </c>
      <c r="Q19" s="25">
        <f t="shared" si="32"/>
        <v>-222153.80880728277</v>
      </c>
      <c r="R19" s="25">
        <f t="shared" si="134"/>
        <v>685017</v>
      </c>
      <c r="S19" s="25">
        <f t="shared" si="33"/>
        <v>362921</v>
      </c>
      <c r="T19" s="25">
        <f t="shared" si="34"/>
        <v>1418522.2143234741</v>
      </c>
      <c r="U19" s="25">
        <f t="shared" si="35"/>
        <v>776443.85114146117</v>
      </c>
      <c r="V19" s="25"/>
      <c r="W19" s="25">
        <f t="shared" si="147"/>
        <v>6355558.7199999997</v>
      </c>
      <c r="Y19" s="25">
        <f t="shared" si="148"/>
        <v>1101418.3261760001</v>
      </c>
      <c r="Z19" s="25"/>
      <c r="AA19" s="80" t="s">
        <v>1354</v>
      </c>
      <c r="AB19" s="275">
        <f>SUM(AB6:AB8)</f>
        <v>35583</v>
      </c>
      <c r="AC19" s="48">
        <f t="shared" ref="AC19:AM19" si="165">SUM(AC6:AC8)</f>
        <v>216140</v>
      </c>
      <c r="AD19" s="48">
        <f t="shared" si="165"/>
        <v>189857</v>
      </c>
      <c r="AE19" s="48">
        <f t="shared" si="165"/>
        <v>359347</v>
      </c>
      <c r="AF19" s="271">
        <f t="shared" si="165"/>
        <v>299216</v>
      </c>
      <c r="AG19" s="48">
        <f t="shared" si="165"/>
        <v>395990.29000000004</v>
      </c>
      <c r="AH19" s="48">
        <f t="shared" si="165"/>
        <v>130843.20999999999</v>
      </c>
      <c r="AI19" s="48">
        <f t="shared" si="165"/>
        <v>-437287.96950000001</v>
      </c>
      <c r="AJ19" s="279">
        <f t="shared" si="165"/>
        <v>120127.23499999997</v>
      </c>
      <c r="AK19" s="48">
        <f t="shared" si="165"/>
        <v>-329441.13500000001</v>
      </c>
      <c r="AL19" s="48">
        <f t="shared" si="165"/>
        <v>-280733</v>
      </c>
      <c r="AM19" s="48">
        <f t="shared" si="165"/>
        <v>243471</v>
      </c>
      <c r="AN19" s="48">
        <f t="shared" ref="AN19:AS19" si="166">SUM(AN6:AN8)</f>
        <v>680932</v>
      </c>
      <c r="AO19" s="61">
        <f t="shared" si="166"/>
        <v>1240710</v>
      </c>
      <c r="AP19" s="48">
        <f t="shared" si="166"/>
        <v>489568</v>
      </c>
      <c r="AQ19" s="48">
        <f t="shared" si="166"/>
        <v>846290</v>
      </c>
      <c r="AR19" s="48">
        <f t="shared" si="166"/>
        <v>136392</v>
      </c>
      <c r="AS19" s="48">
        <f t="shared" si="166"/>
        <v>805067</v>
      </c>
      <c r="AT19" s="48">
        <f t="shared" ref="AT19:BB19" si="167">SUM(AT6:AT8)</f>
        <v>201356</v>
      </c>
      <c r="AU19" s="48">
        <f t="shared" si="167"/>
        <v>1042292</v>
      </c>
      <c r="AV19" s="61">
        <f t="shared" si="167"/>
        <v>1936231</v>
      </c>
      <c r="AW19" s="61">
        <f t="shared" si="167"/>
        <v>-885</v>
      </c>
      <c r="AX19" s="61">
        <f t="shared" si="167"/>
        <v>1896644</v>
      </c>
      <c r="AY19" s="61">
        <f t="shared" ref="AY19:AZ19" si="168">SUM(AY6:AY8)</f>
        <v>1251253</v>
      </c>
      <c r="AZ19" s="61">
        <f t="shared" si="168"/>
        <v>379789</v>
      </c>
      <c r="BA19" s="61">
        <f t="shared" ref="BA19" si="169">SUM(BA6:BA8)</f>
        <v>107643</v>
      </c>
      <c r="BB19" s="61">
        <f t="shared" si="167"/>
        <v>0</v>
      </c>
      <c r="BC19" s="48"/>
      <c r="BD19" s="48">
        <f>SUM(BD6:BD8)</f>
        <v>721704.33333333326</v>
      </c>
      <c r="BE19" s="48">
        <f>SUM(BE6:BE8)</f>
        <v>118246.46304999999</v>
      </c>
      <c r="BF19" s="59"/>
      <c r="BH19" s="80" t="s">
        <v>1357</v>
      </c>
      <c r="BI19" s="117">
        <f>(BI9+BI10+BI11)/BI15</f>
        <v>0.32805845135179185</v>
      </c>
      <c r="BJ19" s="117">
        <f t="shared" ref="BJ19:BS19" si="170">(BJ9+BJ10+BJ11)/BJ15</f>
        <v>0.29974120709370239</v>
      </c>
      <c r="BK19" s="117">
        <f t="shared" si="170"/>
        <v>0.29009034829256569</v>
      </c>
      <c r="BL19" s="117">
        <f t="shared" si="170"/>
        <v>0.23516153540005452</v>
      </c>
      <c r="BM19" s="117">
        <f t="shared" si="170"/>
        <v>0.27731996178857471</v>
      </c>
      <c r="BN19" s="117">
        <f t="shared" si="170"/>
        <v>0.24089062324042146</v>
      </c>
      <c r="BO19" s="117">
        <f t="shared" si="170"/>
        <v>0.26470797491942005</v>
      </c>
      <c r="BP19" s="117">
        <f t="shared" si="170"/>
        <v>0.25825513866137689</v>
      </c>
      <c r="BQ19" s="117">
        <f t="shared" si="170"/>
        <v>0.25049548780801767</v>
      </c>
      <c r="BR19" s="117">
        <f t="shared" si="170"/>
        <v>0.26265895721774346</v>
      </c>
      <c r="BS19" s="117">
        <f t="shared" si="170"/>
        <v>0.2368794643471559</v>
      </c>
      <c r="BT19" s="117">
        <f t="shared" ref="BT19:BY19" si="171">(BT9+BT10+BT11)/BT15</f>
        <v>0.25120470333065481</v>
      </c>
      <c r="BU19" s="117">
        <f t="shared" si="171"/>
        <v>0.26383277361794583</v>
      </c>
      <c r="BV19" s="117">
        <f t="shared" si="171"/>
        <v>0.23395783285873553</v>
      </c>
      <c r="BW19" s="117">
        <f t="shared" si="171"/>
        <v>0.1923704726190075</v>
      </c>
      <c r="BX19" s="117">
        <f t="shared" si="171"/>
        <v>0.27616197614991483</v>
      </c>
      <c r="BY19" s="117">
        <f t="shared" si="171"/>
        <v>0.24207022756608312</v>
      </c>
      <c r="BZ19" s="117">
        <f t="shared" ref="BZ19:CE19" si="172">(BZ9+BZ10+BZ11)/BZ15</f>
        <v>0.23532939800276431</v>
      </c>
      <c r="CA19" s="117">
        <f t="shared" si="172"/>
        <v>0.24053300714214126</v>
      </c>
      <c r="CB19" s="117">
        <f t="shared" si="172"/>
        <v>0.26468495872694398</v>
      </c>
      <c r="CC19" s="117">
        <f t="shared" si="172"/>
        <v>0.27900077644716592</v>
      </c>
      <c r="CD19" s="117">
        <f t="shared" si="172"/>
        <v>0.27352159306181073</v>
      </c>
      <c r="CE19" s="117">
        <f t="shared" si="172"/>
        <v>0.26482800042114124</v>
      </c>
      <c r="CF19" s="117">
        <f>(CF9+CF10+CF11)/CF15</f>
        <v>0.26083870367648776</v>
      </c>
      <c r="CG19" s="117">
        <f>(CG9+CG10+CG11)/CG15</f>
        <v>0.2574419633543914</v>
      </c>
      <c r="CH19" s="117">
        <f>(CH9+CH10+CH11)/CH15</f>
        <v>0.30628721707694301</v>
      </c>
      <c r="CI19" s="117" t="e">
        <f>(CI9+CI10+CI11)/CI15</f>
        <v>#DIV/0!</v>
      </c>
      <c r="CJ19" s="118">
        <f t="shared" si="153"/>
        <v>0.25833383728356218</v>
      </c>
      <c r="CK19" s="118">
        <f t="shared" si="153"/>
        <v>0.25540163636939595</v>
      </c>
      <c r="CO19" s="6"/>
      <c r="CU19" s="57"/>
      <c r="DI19" s="6"/>
      <c r="DJ19" s="6"/>
      <c r="DK19" s="6"/>
      <c r="DL19" s="6"/>
      <c r="DM19" s="6"/>
      <c r="DN19" s="6"/>
      <c r="DO19" s="6"/>
      <c r="DU19" s="55"/>
      <c r="DV19" s="55"/>
      <c r="DW19" s="55"/>
      <c r="DX19" s="55"/>
      <c r="DY19" s="55"/>
      <c r="DZ19" s="55"/>
      <c r="EA19" s="55"/>
      <c r="FV19" s="640"/>
      <c r="FW19" s="640"/>
      <c r="FX19" s="640"/>
      <c r="FY19" s="640"/>
      <c r="FZ19" s="640"/>
      <c r="GA19" s="640"/>
      <c r="GB19" s="640"/>
      <c r="GC19" s="640"/>
      <c r="GD19" s="640"/>
      <c r="GE19" s="640"/>
      <c r="GF19" s="640"/>
      <c r="GG19" s="640"/>
      <c r="GH19" s="640"/>
      <c r="GI19" s="640"/>
      <c r="GJ19" s="640"/>
      <c r="GK19" s="640"/>
      <c r="GL19" s="24">
        <f>A56</f>
        <v>32294</v>
      </c>
      <c r="GM19" s="97">
        <f>SUM(B54:B56)</f>
        <v>4309523</v>
      </c>
      <c r="GN19" s="97">
        <f>SUM(C54:C56)</f>
        <v>299216</v>
      </c>
      <c r="GO19" s="5">
        <f t="shared" ref="GO19:GO24" si="173">((GN18-GN19)^2)^0.5</f>
        <v>265987</v>
      </c>
      <c r="GP19" s="25" t="e">
        <f t="shared" si="155"/>
        <v>#DIV/0!</v>
      </c>
      <c r="GQ19" s="25" t="e">
        <f t="shared" si="156"/>
        <v>#DIV/0!</v>
      </c>
      <c r="GR19" s="48">
        <f t="shared" ref="GR19:GR50" si="174">AVERAGE(GN16:GN19)</f>
        <v>1101991.75</v>
      </c>
      <c r="GS19" s="48" t="e">
        <f>GR15</f>
        <v>#DIV/0!</v>
      </c>
      <c r="GT19" s="48">
        <f>SUM(GM16:GM19)</f>
        <v>12547608</v>
      </c>
      <c r="GU19" s="48" t="e">
        <f>GT15</f>
        <v>#DIV/0!</v>
      </c>
      <c r="GV19" s="75">
        <f t="shared" ref="GV19:GV49" si="175">SUM(GN16:GN19)</f>
        <v>4407967</v>
      </c>
      <c r="GW19" s="75" t="e">
        <f>GV15</f>
        <v>#DIV/0!</v>
      </c>
      <c r="GX19" s="48" t="e">
        <f t="shared" si="145"/>
        <v>#DIV/0!</v>
      </c>
      <c r="GY19" s="48" t="e">
        <f t="shared" si="129"/>
        <v>#DIV/0!</v>
      </c>
      <c r="GZ19" s="75">
        <f>SUM(GL18:GL19)</f>
        <v>64496</v>
      </c>
      <c r="HA19" s="157">
        <f t="shared" si="146"/>
        <v>68.344812081369383</v>
      </c>
      <c r="HB19" s="157"/>
      <c r="HE19" s="53"/>
      <c r="HF19" s="53"/>
      <c r="HG19" s="53"/>
      <c r="HH19" s="53"/>
      <c r="HI19" s="60" t="s">
        <v>640</v>
      </c>
      <c r="HJ19" s="60" t="s">
        <v>641</v>
      </c>
      <c r="HK19" s="53"/>
    </row>
    <row r="20" spans="1:219">
      <c r="A20" s="24">
        <v>31198</v>
      </c>
      <c r="B20" s="25">
        <f t="shared" si="130"/>
        <v>861448</v>
      </c>
      <c r="C20" s="25">
        <f t="shared" si="131"/>
        <v>171849</v>
      </c>
      <c r="D20" s="25">
        <f t="shared" si="110"/>
        <v>216140</v>
      </c>
      <c r="E20" s="25">
        <f t="shared" si="132"/>
        <v>46353.166666666664</v>
      </c>
      <c r="F20" s="25"/>
      <c r="G20" s="25"/>
      <c r="H20" s="25">
        <f t="shared" si="133"/>
        <v>556238</v>
      </c>
      <c r="I20" s="25"/>
      <c r="J20" s="25"/>
      <c r="K20" s="25"/>
      <c r="L20" s="25">
        <f t="shared" si="30"/>
        <v>19301</v>
      </c>
      <c r="M20" s="25"/>
      <c r="N20" s="25"/>
      <c r="O20" s="25"/>
      <c r="P20" s="25">
        <f t="shared" si="31"/>
        <v>347835.3593688212</v>
      </c>
      <c r="Q20" s="25">
        <f t="shared" si="32"/>
        <v>-222153.80880728277</v>
      </c>
      <c r="R20" s="25">
        <f t="shared" si="134"/>
        <v>861448</v>
      </c>
      <c r="S20" s="25">
        <f t="shared" si="33"/>
        <v>176431</v>
      </c>
      <c r="T20" s="25">
        <f t="shared" si="34"/>
        <v>1418522.2143234741</v>
      </c>
      <c r="U20" s="25">
        <f t="shared" si="35"/>
        <v>776443.85114146117</v>
      </c>
      <c r="V20" s="25"/>
      <c r="W20" s="25">
        <f t="shared" si="147"/>
        <v>6665998.7199999997</v>
      </c>
      <c r="Y20" s="25">
        <f t="shared" si="148"/>
        <v>1155217.5781759999</v>
      </c>
      <c r="Z20" s="25"/>
      <c r="AA20" s="80" t="s">
        <v>1356</v>
      </c>
      <c r="AB20" s="275">
        <f>SUM(AB9:AB11)</f>
        <v>590776</v>
      </c>
      <c r="AC20" s="48">
        <f t="shared" ref="AC20:AM20" si="176">SUM(AC9:AC11)</f>
        <v>356445</v>
      </c>
      <c r="AD20" s="48">
        <f t="shared" si="176"/>
        <v>495065</v>
      </c>
      <c r="AE20" s="48">
        <f t="shared" si="176"/>
        <v>379693</v>
      </c>
      <c r="AF20" s="271">
        <f t="shared" si="176"/>
        <v>429465</v>
      </c>
      <c r="AG20" s="48">
        <f t="shared" si="176"/>
        <v>13451.410000000003</v>
      </c>
      <c r="AH20" s="48">
        <f t="shared" si="176"/>
        <v>240638</v>
      </c>
      <c r="AI20" s="48">
        <f t="shared" si="176"/>
        <v>256563.78150000001</v>
      </c>
      <c r="AJ20" s="279">
        <f t="shared" si="176"/>
        <v>-220760.65999999997</v>
      </c>
      <c r="AK20" s="48">
        <f t="shared" si="176"/>
        <v>3963.3969999999972</v>
      </c>
      <c r="AL20" s="48">
        <f t="shared" si="176"/>
        <v>-563637</v>
      </c>
      <c r="AM20" s="48">
        <f t="shared" si="176"/>
        <v>434295</v>
      </c>
      <c r="AN20" s="48">
        <f t="shared" ref="AN20:AS20" si="177">SUM(AN9:AN11)</f>
        <v>550458</v>
      </c>
      <c r="AO20" s="48">
        <f t="shared" si="177"/>
        <v>335333</v>
      </c>
      <c r="AP20" s="48">
        <f t="shared" si="177"/>
        <v>-479940</v>
      </c>
      <c r="AQ20" s="48">
        <f t="shared" si="177"/>
        <v>462283</v>
      </c>
      <c r="AR20" s="48">
        <f t="shared" si="177"/>
        <v>-258072</v>
      </c>
      <c r="AS20" s="48">
        <f t="shared" si="177"/>
        <v>-228454</v>
      </c>
      <c r="AT20" s="48">
        <f t="shared" ref="AT20:BB20" si="178">SUM(AT9:AT11)</f>
        <v>-253594</v>
      </c>
      <c r="AU20" s="48">
        <f t="shared" si="178"/>
        <v>516082</v>
      </c>
      <c r="AV20" s="61">
        <f t="shared" si="178"/>
        <v>1513074</v>
      </c>
      <c r="AW20" s="61">
        <f t="shared" si="178"/>
        <v>573793</v>
      </c>
      <c r="AX20" s="61">
        <f t="shared" si="178"/>
        <v>785610</v>
      </c>
      <c r="AY20" s="61">
        <f t="shared" ref="AY20:AZ20" si="179">SUM(AY9:AY11)</f>
        <v>996570</v>
      </c>
      <c r="AZ20" s="61">
        <f t="shared" si="179"/>
        <v>166032</v>
      </c>
      <c r="BA20" s="61">
        <f t="shared" ref="BA20" si="180">SUM(BA9:BA11)</f>
        <v>570507</v>
      </c>
      <c r="BB20" s="61">
        <f t="shared" si="178"/>
        <v>0</v>
      </c>
      <c r="BC20" s="48"/>
      <c r="BD20" s="48">
        <f>SUM(BD9:BD11)</f>
        <v>440028.66666666663</v>
      </c>
      <c r="BE20" s="48">
        <f>SUM(BE9:BE11)</f>
        <v>152412.99284999998</v>
      </c>
      <c r="BF20" s="59"/>
      <c r="BH20" s="80" t="s">
        <v>1359</v>
      </c>
      <c r="BI20" s="4">
        <f>(BI12+BI13+BI14)/BI15</f>
        <v>0.28285216438382405</v>
      </c>
      <c r="BJ20" s="4">
        <f t="shared" ref="BJ20:BS20" si="181">(BJ12+BJ13+BJ14)/BJ15</f>
        <v>0.30831321946987356</v>
      </c>
      <c r="BK20" s="4">
        <f t="shared" si="181"/>
        <v>0.24654407239899689</v>
      </c>
      <c r="BL20" s="4">
        <f t="shared" si="181"/>
        <v>0.3455185650465189</v>
      </c>
      <c r="BM20" s="4">
        <f t="shared" si="181"/>
        <v>0.24573077291910295</v>
      </c>
      <c r="BN20" s="4">
        <f t="shared" si="181"/>
        <v>0.24292451241276558</v>
      </c>
      <c r="BO20" s="4">
        <f t="shared" si="181"/>
        <v>0.29360575509779419</v>
      </c>
      <c r="BP20" s="4">
        <f t="shared" si="181"/>
        <v>0.24110506922683236</v>
      </c>
      <c r="BQ20" s="4">
        <f t="shared" si="181"/>
        <v>0.23789497237549181</v>
      </c>
      <c r="BR20" s="4">
        <f t="shared" si="181"/>
        <v>0.27670322647921425</v>
      </c>
      <c r="BS20" s="4">
        <f t="shared" si="181"/>
        <v>0.26400299687581719</v>
      </c>
      <c r="BT20" s="4">
        <f t="shared" ref="BT20:BY20" si="182">(BT12+BT13+BT14)/BT15</f>
        <v>0.25926294451990856</v>
      </c>
      <c r="BU20" s="4">
        <f t="shared" si="182"/>
        <v>0.24788270128811882</v>
      </c>
      <c r="BV20" s="4">
        <f t="shared" si="182"/>
        <v>0.26131236277292863</v>
      </c>
      <c r="BW20" s="4">
        <f t="shared" si="182"/>
        <v>0.25028095195185945</v>
      </c>
      <c r="BX20" s="4">
        <f t="shared" si="182"/>
        <v>0.2480474275979557</v>
      </c>
      <c r="BY20" s="4">
        <f t="shared" si="182"/>
        <v>0.22959634642546103</v>
      </c>
      <c r="BZ20" s="4">
        <f t="shared" ref="BZ20:CE20" si="183">(BZ12+BZ13+BZ14)/BZ15</f>
        <v>0.24014080087874509</v>
      </c>
      <c r="CA20" s="4">
        <f t="shared" si="183"/>
        <v>0.26518670283467594</v>
      </c>
      <c r="CB20" s="4">
        <f t="shared" si="183"/>
        <v>0.28301386192384742</v>
      </c>
      <c r="CC20" s="4">
        <f t="shared" si="183"/>
        <v>0.26206434644529492</v>
      </c>
      <c r="CD20" s="4">
        <f t="shared" si="183"/>
        <v>0.23903388355211513</v>
      </c>
      <c r="CE20" s="4">
        <f t="shared" si="183"/>
        <v>0.24945124597394142</v>
      </c>
      <c r="CF20" s="4">
        <f>(CF12+CF13+CF14)/CF15</f>
        <v>0.24201824844044723</v>
      </c>
      <c r="CG20" s="4">
        <f>(CG12+CG13+CG14)/CG15</f>
        <v>0.27439054247056682</v>
      </c>
      <c r="CH20" s="4">
        <f>(CH12+CH13+CH14)/CH15</f>
        <v>0.24043730576842831</v>
      </c>
      <c r="CI20" s="4" t="e">
        <f>(CI12+CI13+CI14)/CI15</f>
        <v>#DIV/0!</v>
      </c>
      <c r="CJ20" s="118">
        <f t="shared" si="153"/>
        <v>0.25225221640639733</v>
      </c>
      <c r="CK20" s="118">
        <f t="shared" si="153"/>
        <v>0.25844670711841966</v>
      </c>
      <c r="CO20" s="6"/>
      <c r="CU20" s="57"/>
      <c r="DI20" s="6"/>
      <c r="DJ20" s="6"/>
      <c r="DK20" s="6"/>
      <c r="DL20" s="6"/>
      <c r="DM20" s="6"/>
      <c r="DN20" s="6"/>
      <c r="DO20" s="6"/>
      <c r="DU20" s="55"/>
      <c r="DV20" s="55"/>
      <c r="DW20" s="55"/>
      <c r="DX20" s="55"/>
      <c r="DY20" s="55"/>
      <c r="DZ20" s="55"/>
      <c r="EA20" s="55"/>
      <c r="FV20" s="640"/>
      <c r="FW20" s="640"/>
      <c r="FX20" s="640"/>
      <c r="FY20" s="640"/>
      <c r="FZ20" s="640"/>
      <c r="GA20" s="640"/>
      <c r="GB20" s="640"/>
      <c r="GC20" s="640"/>
      <c r="GD20" s="640"/>
      <c r="GE20" s="640"/>
      <c r="GF20" s="640"/>
      <c r="GG20" s="640"/>
      <c r="GH20" s="640"/>
      <c r="GI20" s="640"/>
      <c r="GJ20" s="640"/>
      <c r="GK20" s="640"/>
      <c r="GL20" s="24">
        <f>A59</f>
        <v>32386</v>
      </c>
      <c r="GM20" s="97">
        <f>SUM(B57:B59)</f>
        <v>4444792</v>
      </c>
      <c r="GN20" s="97">
        <f>SUM(C57:C59)</f>
        <v>429465</v>
      </c>
      <c r="GO20" s="5">
        <f t="shared" si="173"/>
        <v>130249</v>
      </c>
      <c r="GP20" s="25" t="e">
        <f t="shared" si="155"/>
        <v>#DIV/0!</v>
      </c>
      <c r="GQ20" s="25" t="e">
        <f t="shared" si="156"/>
        <v>#DIV/0!</v>
      </c>
      <c r="GR20" s="48">
        <f t="shared" si="174"/>
        <v>380517</v>
      </c>
      <c r="GS20" s="48">
        <f>GS16</f>
        <v>530058.75</v>
      </c>
      <c r="GT20" s="48">
        <f t="shared" ref="GT20:GT47" si="184">SUM(GN17:GN20)</f>
        <v>1522068</v>
      </c>
      <c r="GU20" s="48">
        <f>GU16</f>
        <v>-3.8770147062957575E-2</v>
      </c>
      <c r="GV20" s="75">
        <f t="shared" si="175"/>
        <v>1522068</v>
      </c>
      <c r="GW20" s="75">
        <f>GW16</f>
        <v>-3.8770147062957575E-2</v>
      </c>
      <c r="GX20" s="48">
        <f t="shared" si="145"/>
        <v>1522068.0387701471</v>
      </c>
      <c r="GY20" s="48">
        <f t="shared" si="129"/>
        <v>761033.98061492643</v>
      </c>
      <c r="GZ20" s="75">
        <f t="shared" ref="GZ20:GZ51" si="185">SUM(GM17:GM20)</f>
        <v>16960380</v>
      </c>
      <c r="HA20" s="157">
        <f t="shared" si="146"/>
        <v>8.9742564730271368E-2</v>
      </c>
      <c r="HB20" s="157"/>
      <c r="HC20" s="203"/>
      <c r="HE20" s="53"/>
      <c r="HF20" s="53"/>
      <c r="HG20" s="53"/>
      <c r="HH20" s="53"/>
      <c r="HI20" s="73"/>
      <c r="HJ20" s="73"/>
      <c r="HK20" s="53"/>
    </row>
    <row r="21" spans="1:219">
      <c r="A21" s="24">
        <v>31228</v>
      </c>
      <c r="B21" s="25">
        <f t="shared" si="130"/>
        <v>681074</v>
      </c>
      <c r="C21" s="25">
        <f t="shared" si="131"/>
        <v>75078</v>
      </c>
      <c r="D21" s="25">
        <f t="shared" si="110"/>
        <v>399475</v>
      </c>
      <c r="E21" s="25">
        <f t="shared" si="132"/>
        <v>32169.25</v>
      </c>
      <c r="F21" s="25"/>
      <c r="G21" s="25"/>
      <c r="H21" s="25">
        <f t="shared" si="133"/>
        <v>386031</v>
      </c>
      <c r="I21" s="25"/>
      <c r="J21" s="25"/>
      <c r="K21" s="25"/>
      <c r="L21" s="25">
        <f t="shared" si="30"/>
        <v>96771</v>
      </c>
      <c r="M21" s="25"/>
      <c r="N21" s="25"/>
      <c r="O21" s="25"/>
      <c r="P21" s="25">
        <f t="shared" si="31"/>
        <v>347835.3593688212</v>
      </c>
      <c r="Q21" s="25">
        <f t="shared" si="32"/>
        <v>-222153.80880728277</v>
      </c>
      <c r="R21" s="25">
        <f t="shared" si="134"/>
        <v>681074</v>
      </c>
      <c r="S21" s="25">
        <f t="shared" si="33"/>
        <v>180374</v>
      </c>
      <c r="T21" s="25">
        <f t="shared" si="34"/>
        <v>1418522.2143234741</v>
      </c>
      <c r="U21" s="25">
        <f t="shared" si="35"/>
        <v>776443.85114146117</v>
      </c>
      <c r="V21" s="25"/>
      <c r="W21" s="25">
        <f t="shared" si="147"/>
        <v>6678094.7199999997</v>
      </c>
      <c r="Y21" s="25">
        <f t="shared" si="148"/>
        <v>1157313.814976</v>
      </c>
      <c r="Z21" s="25"/>
      <c r="AA21" s="80" t="s">
        <v>1358</v>
      </c>
      <c r="AB21" s="275">
        <f>SUM(AB12:AB14)</f>
        <v>-124548</v>
      </c>
      <c r="AC21" s="48">
        <f t="shared" ref="AC21:AM21" si="186">SUM(AC12:AC14)</f>
        <v>255522</v>
      </c>
      <c r="AD21" s="48">
        <f t="shared" si="186"/>
        <v>-193521</v>
      </c>
      <c r="AE21" s="48">
        <f t="shared" si="186"/>
        <v>760158</v>
      </c>
      <c r="AF21" s="271">
        <f t="shared" si="186"/>
        <v>-739910</v>
      </c>
      <c r="AG21" s="48">
        <f t="shared" si="186"/>
        <v>280478.44</v>
      </c>
      <c r="AH21" s="48">
        <f t="shared" si="186"/>
        <v>411019</v>
      </c>
      <c r="AI21" s="48">
        <f t="shared" si="186"/>
        <v>6595.9099999999453</v>
      </c>
      <c r="AJ21" s="279">
        <f t="shared" si="186"/>
        <v>46971.304000000004</v>
      </c>
      <c r="AK21" s="48">
        <f t="shared" si="186"/>
        <v>277446.853</v>
      </c>
      <c r="AL21" s="48">
        <f t="shared" si="186"/>
        <v>265361</v>
      </c>
      <c r="AM21" s="48">
        <f t="shared" si="186"/>
        <v>37627</v>
      </c>
      <c r="AN21" s="48">
        <f t="shared" ref="AN21:AS21" si="187">SUM(AN12:AN14)</f>
        <v>154006</v>
      </c>
      <c r="AO21" s="48">
        <f t="shared" si="187"/>
        <v>468965</v>
      </c>
      <c r="AP21" s="48">
        <f t="shared" si="187"/>
        <v>33072</v>
      </c>
      <c r="AQ21" s="48">
        <f t="shared" si="187"/>
        <v>-199678</v>
      </c>
      <c r="AR21" s="48">
        <f t="shared" si="187"/>
        <v>-182366</v>
      </c>
      <c r="AS21" s="48">
        <f t="shared" si="187"/>
        <v>-287741</v>
      </c>
      <c r="AT21" s="48">
        <f t="shared" ref="AT21:BB21" si="188">SUM(AT12:AT14)</f>
        <v>119949</v>
      </c>
      <c r="AU21" s="48">
        <f t="shared" si="188"/>
        <v>383571</v>
      </c>
      <c r="AV21" s="48">
        <f t="shared" si="188"/>
        <v>521122</v>
      </c>
      <c r="AW21" s="48">
        <f t="shared" si="188"/>
        <v>-331984</v>
      </c>
      <c r="AX21" s="48">
        <f t="shared" si="188"/>
        <v>195288</v>
      </c>
      <c r="AY21" s="48">
        <f t="shared" ref="AY21:AZ21" si="189">SUM(AY12:AY14)</f>
        <v>-416639</v>
      </c>
      <c r="AZ21" s="48">
        <f t="shared" si="189"/>
        <v>389779</v>
      </c>
      <c r="BA21" s="48">
        <f t="shared" ref="BA21" si="190">SUM(BA12:BA14)</f>
        <v>225816</v>
      </c>
      <c r="BB21" s="48">
        <f t="shared" si="188"/>
        <v>0</v>
      </c>
      <c r="BC21" s="48"/>
      <c r="BD21" s="48">
        <f>SUM(BD12:BD14)</f>
        <v>220199.33333333331</v>
      </c>
      <c r="BE21" s="48">
        <f>SUM(BE12:BE14)</f>
        <v>149975.35070000001</v>
      </c>
      <c r="BF21" s="59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O21" s="6"/>
      <c r="CU21" s="57"/>
      <c r="DI21" s="6"/>
      <c r="DJ21" s="6"/>
      <c r="DK21" s="6"/>
      <c r="DL21" s="6"/>
      <c r="DM21" s="6"/>
      <c r="DN21" s="6"/>
      <c r="DO21" s="6"/>
      <c r="DU21" s="55"/>
      <c r="DV21" s="55"/>
      <c r="DW21" s="55"/>
      <c r="DX21" s="55"/>
      <c r="DY21" s="55"/>
      <c r="DZ21" s="55"/>
      <c r="EA21" s="55"/>
      <c r="FV21" s="640"/>
      <c r="FW21" s="640"/>
      <c r="FX21" s="640"/>
      <c r="FY21" s="640"/>
      <c r="FZ21" s="640"/>
      <c r="GA21" s="640"/>
      <c r="GB21" s="640"/>
      <c r="GC21" s="640"/>
      <c r="GD21" s="640"/>
      <c r="GE21" s="640"/>
      <c r="GF21" s="640"/>
      <c r="GG21" s="640"/>
      <c r="GH21" s="640"/>
      <c r="GI21" s="640"/>
      <c r="GJ21" s="640"/>
      <c r="GK21" s="640"/>
      <c r="GL21" s="24">
        <f>A62</f>
        <v>32477</v>
      </c>
      <c r="GM21" s="97">
        <f>SUM(B60:B62)</f>
        <v>3938491</v>
      </c>
      <c r="GN21" s="97">
        <f>SUM(C60:C62)</f>
        <v>-739910</v>
      </c>
      <c r="GO21" s="5">
        <f t="shared" si="173"/>
        <v>1169375</v>
      </c>
      <c r="GP21" s="25" t="e">
        <f t="shared" si="155"/>
        <v>#DIV/0!</v>
      </c>
      <c r="GQ21" s="25" t="e">
        <f t="shared" si="156"/>
        <v>#DIV/0!</v>
      </c>
      <c r="GR21" s="565">
        <f t="shared" si="174"/>
        <v>5500</v>
      </c>
      <c r="GS21" s="48">
        <f>GR17</f>
        <v>453028.5</v>
      </c>
      <c r="GT21" s="48">
        <f t="shared" si="184"/>
        <v>22000</v>
      </c>
      <c r="GU21" s="48">
        <f>GT17</f>
        <v>4075522</v>
      </c>
      <c r="GV21" s="75">
        <f t="shared" si="175"/>
        <v>22000</v>
      </c>
      <c r="GW21" s="75">
        <f>GV17</f>
        <v>-3.6129150326668358E-2</v>
      </c>
      <c r="GX21" s="48">
        <f t="shared" si="145"/>
        <v>22000.036129150325</v>
      </c>
      <c r="GY21" s="48">
        <f t="shared" si="129"/>
        <v>10999.981935424838</v>
      </c>
      <c r="GZ21" s="75">
        <f t="shared" si="185"/>
        <v>16027667</v>
      </c>
      <c r="HA21" s="157">
        <f t="shared" si="146"/>
        <v>1.3726264714633764E-3</v>
      </c>
      <c r="HB21" s="157"/>
      <c r="HE21" s="53"/>
      <c r="HF21" s="53"/>
      <c r="HG21" s="53"/>
      <c r="HH21" s="53"/>
      <c r="HI21" s="73"/>
      <c r="HJ21" s="73"/>
      <c r="HK21" s="53"/>
    </row>
    <row r="22" spans="1:219">
      <c r="A22" s="24">
        <v>31259</v>
      </c>
      <c r="B22" s="25">
        <f t="shared" si="130"/>
        <v>817046</v>
      </c>
      <c r="C22" s="25">
        <f t="shared" si="131"/>
        <v>104270</v>
      </c>
      <c r="D22" s="25">
        <f t="shared" si="110"/>
        <v>351197</v>
      </c>
      <c r="E22" s="25">
        <f t="shared" si="132"/>
        <v>29423.166666666668</v>
      </c>
      <c r="F22" s="25"/>
      <c r="G22" s="25"/>
      <c r="H22" s="25">
        <f t="shared" si="133"/>
        <v>353078</v>
      </c>
      <c r="I22" s="25"/>
      <c r="J22" s="25"/>
      <c r="K22" s="25"/>
      <c r="L22" s="25">
        <f t="shared" si="30"/>
        <v>29192</v>
      </c>
      <c r="M22" s="25"/>
      <c r="N22" s="25"/>
      <c r="O22" s="25"/>
      <c r="P22" s="25">
        <f t="shared" si="31"/>
        <v>347835.3593688212</v>
      </c>
      <c r="Q22" s="25">
        <f t="shared" si="32"/>
        <v>-222153.80880728277</v>
      </c>
      <c r="R22" s="25">
        <f t="shared" si="134"/>
        <v>817046</v>
      </c>
      <c r="S22" s="25">
        <f t="shared" si="33"/>
        <v>135972</v>
      </c>
      <c r="T22" s="25">
        <f t="shared" si="34"/>
        <v>1418522.2143234741</v>
      </c>
      <c r="U22" s="25">
        <f t="shared" si="35"/>
        <v>776443.85114146117</v>
      </c>
      <c r="V22" s="25"/>
      <c r="W22" s="25">
        <f t="shared" si="147"/>
        <v>6854066.7199999997</v>
      </c>
      <c r="Y22" s="25">
        <f t="shared" si="148"/>
        <v>1187809.7625760001</v>
      </c>
      <c r="Z22" s="25"/>
      <c r="AA22" s="80"/>
      <c r="AB22" s="275"/>
      <c r="AC22" s="48"/>
      <c r="AD22" s="48"/>
      <c r="AE22" s="48"/>
      <c r="AF22" s="271"/>
      <c r="AG22" s="48"/>
      <c r="AH22" s="48"/>
      <c r="AI22" s="48"/>
      <c r="AJ22" s="279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59"/>
      <c r="BH22" s="80" t="s">
        <v>1586</v>
      </c>
      <c r="BI22" s="48">
        <f>MIN(BI3:BI14)</f>
        <v>280552</v>
      </c>
      <c r="BJ22" s="48">
        <f t="shared" ref="BJ22:BT22" si="191">MIN(BJ3:BJ14)</f>
        <v>322096</v>
      </c>
      <c r="BK22" s="48">
        <f t="shared" si="191"/>
        <v>504044</v>
      </c>
      <c r="BL22" s="48">
        <f t="shared" si="191"/>
        <v>720116</v>
      </c>
      <c r="BM22" s="48">
        <f t="shared" si="191"/>
        <v>941820</v>
      </c>
      <c r="BN22" s="48">
        <f t="shared" si="191"/>
        <v>1097886</v>
      </c>
      <c r="BO22" s="48">
        <f t="shared" si="191"/>
        <v>848032.79</v>
      </c>
      <c r="BP22" s="48">
        <f t="shared" si="191"/>
        <v>1025076.2388000001</v>
      </c>
      <c r="BQ22" s="48">
        <f t="shared" si="191"/>
        <v>1015960.4704</v>
      </c>
      <c r="BR22" s="48">
        <f t="shared" si="191"/>
        <v>857541.84299999999</v>
      </c>
      <c r="BS22" s="48">
        <f t="shared" si="191"/>
        <v>828776</v>
      </c>
      <c r="BT22" s="48">
        <f t="shared" si="191"/>
        <v>785719</v>
      </c>
      <c r="BU22" s="48">
        <f t="shared" ref="BU22:BZ22" si="192">MIN(BU3:BU14)</f>
        <v>879252</v>
      </c>
      <c r="BV22" s="48">
        <f t="shared" si="192"/>
        <v>941149</v>
      </c>
      <c r="BW22" s="48">
        <f t="shared" si="192"/>
        <v>816063</v>
      </c>
      <c r="BX22" s="48">
        <f t="shared" si="192"/>
        <v>700486</v>
      </c>
      <c r="BY22" s="48">
        <f t="shared" si="192"/>
        <v>894446</v>
      </c>
      <c r="BZ22" s="48">
        <f t="shared" si="192"/>
        <v>692392</v>
      </c>
      <c r="CA22" s="48">
        <f t="shared" ref="CA22:CI22" si="193">MIN(CA3:CA14)</f>
        <v>991617</v>
      </c>
      <c r="CB22" s="48">
        <f t="shared" si="193"/>
        <v>1012893</v>
      </c>
      <c r="CC22" s="48">
        <f t="shared" si="193"/>
        <v>1444774</v>
      </c>
      <c r="CD22" s="48">
        <f t="shared" si="193"/>
        <v>1360922</v>
      </c>
      <c r="CE22" s="48">
        <f t="shared" si="193"/>
        <v>1068538</v>
      </c>
      <c r="CF22" s="48">
        <f t="shared" ref="CF22:CH22" si="194">MIN(CF3:CF14)</f>
        <v>1492295</v>
      </c>
      <c r="CG22" s="48">
        <f t="shared" ref="CG22" si="195">MIN(CG3:CG14)</f>
        <v>1357571</v>
      </c>
      <c r="CH22" s="48">
        <f t="shared" si="194"/>
        <v>1495746</v>
      </c>
      <c r="CI22" s="48">
        <f t="shared" si="193"/>
        <v>0</v>
      </c>
      <c r="CJ22" s="80" t="s">
        <v>1586</v>
      </c>
      <c r="CK22" s="48">
        <f>MIN(CK3:CK14)</f>
        <v>980589.56096000003</v>
      </c>
      <c r="CL22" s="48">
        <f>MIN(CL3:CL14)</f>
        <v>911872.61861818179</v>
      </c>
      <c r="CO22" s="6"/>
      <c r="CV22" s="57"/>
      <c r="DI22" s="6"/>
      <c r="DJ22" s="6"/>
      <c r="DK22" s="6"/>
      <c r="DL22" s="6"/>
      <c r="DM22" s="6"/>
      <c r="DN22" s="6"/>
      <c r="DO22" s="6"/>
      <c r="DP22" s="6"/>
      <c r="DU22" s="55"/>
      <c r="DV22" s="55"/>
      <c r="DW22" s="55"/>
      <c r="DX22" s="55"/>
      <c r="DY22" s="55"/>
      <c r="DZ22" s="55"/>
      <c r="EA22" s="55"/>
      <c r="EB22" s="55"/>
      <c r="FW22" s="640"/>
      <c r="FX22" s="640"/>
      <c r="FY22" s="640"/>
      <c r="FZ22" s="640"/>
      <c r="GA22" s="640"/>
      <c r="GB22" s="640"/>
      <c r="GC22" s="640"/>
      <c r="GD22" s="640"/>
      <c r="GE22" s="640"/>
      <c r="GF22" s="640"/>
      <c r="GG22" s="640"/>
      <c r="GH22" s="640"/>
      <c r="GI22" s="640"/>
      <c r="GJ22" s="640"/>
      <c r="GK22" s="640"/>
      <c r="GL22" s="24">
        <f>A65</f>
        <v>32567</v>
      </c>
      <c r="GM22" s="97">
        <f>SUM(B63:B65)</f>
        <v>3788469</v>
      </c>
      <c r="GN22" s="97">
        <f>SUM(C63:C65)</f>
        <v>-59606</v>
      </c>
      <c r="GO22" s="5">
        <f t="shared" si="173"/>
        <v>680304</v>
      </c>
      <c r="GP22" s="25" t="e">
        <f t="shared" si="155"/>
        <v>#DIV/0!</v>
      </c>
      <c r="GQ22" s="25" t="e">
        <f t="shared" si="156"/>
        <v>#DIV/0!</v>
      </c>
      <c r="GR22" s="48">
        <f t="shared" si="174"/>
        <v>-17708.75</v>
      </c>
      <c r="GS22" s="48">
        <f t="shared" ref="GS22:GS24" si="196">GR18</f>
        <v>1369583.6666666667</v>
      </c>
      <c r="GT22" s="48">
        <f t="shared" si="184"/>
        <v>-70835</v>
      </c>
      <c r="GU22" s="48">
        <f t="shared" ref="GU22:GU24" si="197">GT18</f>
        <v>8238085</v>
      </c>
      <c r="GV22" s="75">
        <f t="shared" si="175"/>
        <v>-70835</v>
      </c>
      <c r="GW22" s="75">
        <f t="shared" si="128"/>
        <v>6.4878773424190794E-2</v>
      </c>
      <c r="GX22" s="48">
        <f t="shared" si="145"/>
        <v>-70835.064878773424</v>
      </c>
      <c r="GY22" s="48">
        <f t="shared" si="129"/>
        <v>-35417.467560613288</v>
      </c>
      <c r="GZ22" s="75">
        <f t="shared" si="185"/>
        <v>16481275</v>
      </c>
      <c r="HA22" s="157">
        <f t="shared" si="146"/>
        <v>-4.2979077771592303E-3</v>
      </c>
      <c r="HB22" s="157"/>
      <c r="HC22" s="204"/>
      <c r="HE22" s="53"/>
      <c r="HF22" s="53"/>
      <c r="HG22" s="53"/>
      <c r="HH22" s="24">
        <v>34181</v>
      </c>
      <c r="HI22" s="48">
        <v>1053861.727</v>
      </c>
      <c r="HJ22" s="95">
        <v>29799.624</v>
      </c>
      <c r="HK22" s="53"/>
    </row>
    <row r="23" spans="1:219">
      <c r="A23" s="24">
        <v>31290</v>
      </c>
      <c r="B23" s="25">
        <f t="shared" si="130"/>
        <v>867811</v>
      </c>
      <c r="C23" s="25">
        <f t="shared" si="131"/>
        <v>177097</v>
      </c>
      <c r="D23" s="25">
        <f t="shared" si="110"/>
        <v>356445</v>
      </c>
      <c r="E23" s="25">
        <f t="shared" si="132"/>
        <v>26825.583333333332</v>
      </c>
      <c r="F23" s="25"/>
      <c r="G23" s="25"/>
      <c r="H23" s="25">
        <f t="shared" si="133"/>
        <v>321907</v>
      </c>
      <c r="I23" s="25"/>
      <c r="J23" s="25"/>
      <c r="K23" s="25"/>
      <c r="L23" s="25">
        <f t="shared" si="30"/>
        <v>72827</v>
      </c>
      <c r="M23" s="25"/>
      <c r="N23" s="25"/>
      <c r="O23" s="25"/>
      <c r="P23" s="25">
        <f t="shared" si="31"/>
        <v>347835.3593688212</v>
      </c>
      <c r="Q23" s="25">
        <f t="shared" si="32"/>
        <v>-222153.80880728277</v>
      </c>
      <c r="R23" s="25">
        <f t="shared" si="134"/>
        <v>867811</v>
      </c>
      <c r="S23" s="25">
        <f t="shared" si="33"/>
        <v>50765</v>
      </c>
      <c r="T23" s="25">
        <f t="shared" si="34"/>
        <v>1418522.2143234741</v>
      </c>
      <c r="U23" s="25">
        <f t="shared" si="35"/>
        <v>776443.85114146117</v>
      </c>
      <c r="V23" s="25"/>
      <c r="W23" s="25">
        <f t="shared" si="147"/>
        <v>7113620.7199999997</v>
      </c>
      <c r="Y23" s="25">
        <f t="shared" si="148"/>
        <v>1232790.4707760001</v>
      </c>
      <c r="Z23" s="25"/>
      <c r="AA23" s="80" t="s">
        <v>1586</v>
      </c>
      <c r="AB23" s="48">
        <f>MIN(AB3:AB14)</f>
        <v>-235946</v>
      </c>
      <c r="AC23" s="48">
        <f t="shared" ref="AC23:AM23" si="198">MIN(AC3:AC14)</f>
        <v>-108257</v>
      </c>
      <c r="AD23" s="48">
        <f t="shared" si="198"/>
        <v>-132682</v>
      </c>
      <c r="AE23" s="48">
        <f t="shared" si="198"/>
        <v>-275901</v>
      </c>
      <c r="AF23" s="48">
        <f t="shared" si="198"/>
        <v>-438664</v>
      </c>
      <c r="AG23" s="48">
        <f t="shared" si="198"/>
        <v>-183455</v>
      </c>
      <c r="AH23" s="48">
        <f t="shared" si="198"/>
        <v>-277738</v>
      </c>
      <c r="AI23" s="48">
        <f t="shared" si="198"/>
        <v>-284840.614</v>
      </c>
      <c r="AJ23" s="48">
        <f t="shared" si="198"/>
        <v>-351815.72499999998</v>
      </c>
      <c r="AK23" s="48">
        <f t="shared" si="198"/>
        <v>-218381.533</v>
      </c>
      <c r="AL23" s="48">
        <f t="shared" si="198"/>
        <v>-417879</v>
      </c>
      <c r="AM23" s="48">
        <f t="shared" si="198"/>
        <v>-64578</v>
      </c>
      <c r="AN23" s="48">
        <f t="shared" ref="AN23:AS23" si="199">MIN(AN3:AN14)</f>
        <v>-51961</v>
      </c>
      <c r="AO23" s="48">
        <f t="shared" si="199"/>
        <v>-179692</v>
      </c>
      <c r="AP23" s="48">
        <f t="shared" si="199"/>
        <v>-251911</v>
      </c>
      <c r="AQ23" s="48">
        <f t="shared" si="199"/>
        <v>-280000</v>
      </c>
      <c r="AR23" s="48">
        <f t="shared" si="199"/>
        <v>-372710</v>
      </c>
      <c r="AS23" s="48">
        <f t="shared" si="199"/>
        <v>-349032</v>
      </c>
      <c r="AT23" s="48">
        <f t="shared" ref="AT23:BB23" si="200">MIN(AT3:AT14)</f>
        <v>-211179</v>
      </c>
      <c r="AU23" s="48">
        <f t="shared" si="200"/>
        <v>-268790</v>
      </c>
      <c r="AV23" s="48">
        <f t="shared" si="200"/>
        <v>-120778</v>
      </c>
      <c r="AW23" s="48">
        <f t="shared" si="200"/>
        <v>-219974</v>
      </c>
      <c r="AX23" s="48">
        <f t="shared" si="200"/>
        <v>-376885</v>
      </c>
      <c r="AY23" s="48">
        <f t="shared" ref="AY23:AZ23" si="201">MIN(AY3:AY14)</f>
        <v>-678217</v>
      </c>
      <c r="AZ23" s="48">
        <f t="shared" si="201"/>
        <v>-347547</v>
      </c>
      <c r="BA23" s="48">
        <f t="shared" ref="BA23" si="202">MIN(BA3:BA14)</f>
        <v>-156870</v>
      </c>
      <c r="BB23" s="48">
        <f t="shared" si="200"/>
        <v>0</v>
      </c>
      <c r="BC23" s="80" t="s">
        <v>1586</v>
      </c>
      <c r="BD23" s="48"/>
      <c r="BE23" s="48"/>
      <c r="BF23" s="59"/>
      <c r="BH23" s="80" t="s">
        <v>935</v>
      </c>
      <c r="BI23" s="48">
        <f>MAX(BI3:BI14)</f>
        <v>668978</v>
      </c>
      <c r="BJ23" s="48">
        <f t="shared" ref="BJ23:BT23" si="203">MAX(BJ3:BJ14)</f>
        <v>867811</v>
      </c>
      <c r="BK23" s="48">
        <f t="shared" si="203"/>
        <v>1081792</v>
      </c>
      <c r="BL23" s="48">
        <f t="shared" si="203"/>
        <v>1723450</v>
      </c>
      <c r="BM23" s="48">
        <f t="shared" si="203"/>
        <v>1635371</v>
      </c>
      <c r="BN23" s="48">
        <f t="shared" si="203"/>
        <v>1493154</v>
      </c>
      <c r="BO23" s="48">
        <f t="shared" si="203"/>
        <v>1976630</v>
      </c>
      <c r="BP23" s="48">
        <f t="shared" si="203"/>
        <v>1634733.6044000001</v>
      </c>
      <c r="BQ23" s="48">
        <f t="shared" si="203"/>
        <v>1504990.8208000001</v>
      </c>
      <c r="BR23" s="48">
        <f t="shared" si="203"/>
        <v>1261277.79</v>
      </c>
      <c r="BS23" s="48">
        <f t="shared" si="203"/>
        <v>1115770</v>
      </c>
      <c r="BT23" s="48">
        <f t="shared" si="203"/>
        <v>1218188</v>
      </c>
      <c r="BU23" s="48">
        <f t="shared" ref="BU23:BZ23" si="204">MAX(BU3:BU14)</f>
        <v>1418552</v>
      </c>
      <c r="BV23" s="48">
        <f t="shared" si="204"/>
        <v>1827875</v>
      </c>
      <c r="BW23" s="48">
        <f t="shared" si="204"/>
        <v>1706161</v>
      </c>
      <c r="BX23" s="48">
        <f t="shared" si="204"/>
        <v>1686596</v>
      </c>
      <c r="BY23" s="48">
        <f t="shared" si="204"/>
        <v>1625491</v>
      </c>
      <c r="BZ23" s="48">
        <f t="shared" si="204"/>
        <v>1743022</v>
      </c>
      <c r="CA23" s="48">
        <f t="shared" ref="CA23:CI23" si="205">MAX(CA3:CA14)</f>
        <v>1701296</v>
      </c>
      <c r="CB23" s="48">
        <f t="shared" si="205"/>
        <v>2304330</v>
      </c>
      <c r="CC23" s="48">
        <f t="shared" si="205"/>
        <v>2923100</v>
      </c>
      <c r="CD23" s="48">
        <f t="shared" si="205"/>
        <v>2111874</v>
      </c>
      <c r="CE23" s="48">
        <f t="shared" si="205"/>
        <v>2591287</v>
      </c>
      <c r="CF23" s="48">
        <f t="shared" ref="CF23:CH23" si="206">MAX(CF3:CF14)</f>
        <v>2613935</v>
      </c>
      <c r="CG23" s="48">
        <f t="shared" ref="CG23" si="207">MAX(CG3:CG14)</f>
        <v>2340680</v>
      </c>
      <c r="CH23" s="48">
        <f t="shared" si="206"/>
        <v>2320587</v>
      </c>
      <c r="CI23" s="48">
        <f t="shared" si="205"/>
        <v>0</v>
      </c>
      <c r="CJ23" s="80" t="s">
        <v>935</v>
      </c>
      <c r="CK23" s="48">
        <f>MAX(CK3:CK14)</f>
        <v>1418421.9015200001</v>
      </c>
      <c r="CL23" s="48">
        <f>MAX(CL3:CL14)</f>
        <v>1267249.5552363636</v>
      </c>
      <c r="CO23" s="6"/>
      <c r="CV23" s="57"/>
      <c r="DI23" s="6"/>
      <c r="DJ23" s="6"/>
      <c r="DK23" s="6"/>
      <c r="DL23" s="6"/>
      <c r="DM23" s="6"/>
      <c r="DN23" s="6"/>
      <c r="DO23" s="6"/>
      <c r="DP23" s="6"/>
      <c r="DU23" s="55"/>
      <c r="DV23" s="55"/>
      <c r="DW23" s="55"/>
      <c r="DX23" s="55"/>
      <c r="DY23" s="55"/>
      <c r="DZ23" s="55"/>
      <c r="EA23" s="55"/>
      <c r="EB23" s="55"/>
      <c r="FW23" s="640"/>
      <c r="FX23" s="640"/>
      <c r="FY23" s="640"/>
      <c r="FZ23" s="640"/>
      <c r="GA23" s="640"/>
      <c r="GB23" s="640"/>
      <c r="GC23" s="640"/>
      <c r="GD23" s="640"/>
      <c r="GE23" s="640"/>
      <c r="GF23" s="640"/>
      <c r="GG23" s="640"/>
      <c r="GH23" s="640"/>
      <c r="GI23" s="640"/>
      <c r="GJ23" s="640"/>
      <c r="GK23" s="640"/>
      <c r="GL23" s="24">
        <f>A68</f>
        <v>32659</v>
      </c>
      <c r="GM23" s="97">
        <f>SUM(B66:B68)</f>
        <v>4321709.1500000004</v>
      </c>
      <c r="GN23" s="97">
        <f>SUM(C66:C68)</f>
        <v>395990.29000000004</v>
      </c>
      <c r="GO23" s="5">
        <f t="shared" si="173"/>
        <v>455596.29000000004</v>
      </c>
      <c r="GP23" s="25" t="e">
        <f t="shared" si="155"/>
        <v>#DIV/0!</v>
      </c>
      <c r="GQ23" s="25" t="e">
        <f t="shared" si="156"/>
        <v>#DIV/0!</v>
      </c>
      <c r="GR23" s="48">
        <f t="shared" si="174"/>
        <v>6484.8225000000093</v>
      </c>
      <c r="GS23" s="48">
        <f t="shared" si="196"/>
        <v>1101991.75</v>
      </c>
      <c r="GT23" s="48">
        <f t="shared" si="184"/>
        <v>25939.290000000037</v>
      </c>
      <c r="GU23" s="48">
        <f t="shared" si="197"/>
        <v>12547608</v>
      </c>
      <c r="GV23" s="75">
        <f t="shared" si="175"/>
        <v>25939.290000000037</v>
      </c>
      <c r="GW23" s="75">
        <f t="shared" si="128"/>
        <v>4407967</v>
      </c>
      <c r="GX23" s="48">
        <f t="shared" si="145"/>
        <v>-4382027.71</v>
      </c>
      <c r="GY23" s="48">
        <f t="shared" si="129"/>
        <v>2216953.145</v>
      </c>
      <c r="GZ23" s="75">
        <f t="shared" si="185"/>
        <v>16493461.15</v>
      </c>
      <c r="HA23" s="157">
        <f t="shared" si="146"/>
        <v>1.572701433864901E-3</v>
      </c>
      <c r="HB23" s="157"/>
      <c r="HC23" s="80"/>
      <c r="HE23" s="53"/>
      <c r="HF23" s="53"/>
      <c r="HG23" s="53"/>
      <c r="HH23" s="24">
        <v>34212</v>
      </c>
      <c r="HI23" s="48">
        <v>1232278.8799999999</v>
      </c>
      <c r="HJ23" s="95">
        <v>69082.894</v>
      </c>
      <c r="HK23" s="53"/>
    </row>
    <row r="24" spans="1:219" ht="16">
      <c r="A24" s="24">
        <v>31320</v>
      </c>
      <c r="B24" s="25">
        <f t="shared" si="130"/>
        <v>815869</v>
      </c>
      <c r="C24" s="25">
        <f t="shared" si="131"/>
        <v>124733</v>
      </c>
      <c r="D24" s="25">
        <f t="shared" si="110"/>
        <v>406100</v>
      </c>
      <c r="E24" s="25">
        <f t="shared" si="132"/>
        <v>27685.333333333332</v>
      </c>
      <c r="F24" s="25"/>
      <c r="G24" s="25"/>
      <c r="H24" s="25">
        <f t="shared" si="133"/>
        <v>332224</v>
      </c>
      <c r="I24" s="25"/>
      <c r="J24" s="25"/>
      <c r="K24" s="25"/>
      <c r="L24" s="25">
        <f t="shared" si="30"/>
        <v>52364</v>
      </c>
      <c r="M24" s="25"/>
      <c r="N24" s="25"/>
      <c r="O24" s="25"/>
      <c r="P24" s="25">
        <f t="shared" si="31"/>
        <v>347835.3593688212</v>
      </c>
      <c r="Q24" s="25">
        <f t="shared" si="32"/>
        <v>-222153.80880728277</v>
      </c>
      <c r="R24" s="25">
        <f t="shared" si="134"/>
        <v>815869</v>
      </c>
      <c r="S24" s="25">
        <f t="shared" si="33"/>
        <v>51942</v>
      </c>
      <c r="T24" s="25">
        <f t="shared" si="34"/>
        <v>1418522.2143234741</v>
      </c>
      <c r="U24" s="25">
        <f t="shared" si="35"/>
        <v>776443.85114146117</v>
      </c>
      <c r="V24" s="25"/>
      <c r="W24" s="25">
        <f t="shared" si="147"/>
        <v>7298744.7199999997</v>
      </c>
      <c r="Y24" s="25">
        <f t="shared" si="148"/>
        <v>1264872.459976</v>
      </c>
      <c r="Z24" s="25"/>
      <c r="AA24" s="80" t="s">
        <v>935</v>
      </c>
      <c r="AB24" s="48">
        <f>MAX(AB3:AB14)</f>
        <v>245285</v>
      </c>
      <c r="AC24" s="48">
        <f t="shared" ref="AC24:AM24" si="208">MAX(AC3:AC14)</f>
        <v>177097</v>
      </c>
      <c r="AD24" s="48">
        <f t="shared" si="208"/>
        <v>251478</v>
      </c>
      <c r="AE24" s="48">
        <f t="shared" si="208"/>
        <v>286313</v>
      </c>
      <c r="AF24" s="48">
        <f t="shared" si="208"/>
        <v>305512</v>
      </c>
      <c r="AG24" s="48">
        <f t="shared" si="208"/>
        <v>190541.13</v>
      </c>
      <c r="AH24" s="48">
        <f t="shared" si="208"/>
        <v>332775.67999999999</v>
      </c>
      <c r="AI24" s="48">
        <f t="shared" si="208"/>
        <v>291550.50800000003</v>
      </c>
      <c r="AJ24" s="48">
        <f t="shared" si="208"/>
        <v>169580.72</v>
      </c>
      <c r="AK24" s="48">
        <f t="shared" si="208"/>
        <v>183978.49300000002</v>
      </c>
      <c r="AL24" s="48">
        <f t="shared" si="208"/>
        <v>147427</v>
      </c>
      <c r="AM24" s="48">
        <f t="shared" si="208"/>
        <v>253193</v>
      </c>
      <c r="AN24" s="48">
        <f t="shared" ref="AN24:AS24" si="209">MAX(AN3:AN14)</f>
        <v>457698</v>
      </c>
      <c r="AO24" s="48">
        <f t="shared" si="209"/>
        <v>595746</v>
      </c>
      <c r="AP24" s="48">
        <f t="shared" si="209"/>
        <v>523236</v>
      </c>
      <c r="AQ24" s="48">
        <f t="shared" si="209"/>
        <v>454972</v>
      </c>
      <c r="AR24" s="48">
        <f t="shared" si="209"/>
        <v>381530</v>
      </c>
      <c r="AS24" s="48">
        <f t="shared" si="209"/>
        <v>446055</v>
      </c>
      <c r="AT24" s="48">
        <f t="shared" ref="AT24:BB24" si="210">MAX(AT3:AT14)</f>
        <v>228778</v>
      </c>
      <c r="AU24" s="48">
        <f t="shared" si="210"/>
        <v>748705</v>
      </c>
      <c r="AV24" s="48">
        <f t="shared" si="210"/>
        <v>726588</v>
      </c>
      <c r="AW24" s="48">
        <f t="shared" si="210"/>
        <v>433882</v>
      </c>
      <c r="AX24" s="48">
        <f t="shared" si="210"/>
        <v>699684</v>
      </c>
      <c r="AY24" s="48">
        <f t="shared" ref="AY24:AZ24" si="211">MAX(AY3:AY14)</f>
        <v>598697</v>
      </c>
      <c r="AZ24" s="48">
        <f t="shared" si="211"/>
        <v>429860</v>
      </c>
      <c r="BA24" s="48">
        <f t="shared" ref="BA24" si="212">MAX(BA3:BA14)</f>
        <v>496763</v>
      </c>
      <c r="BB24" s="48">
        <f t="shared" si="210"/>
        <v>0</v>
      </c>
      <c r="BC24" s="80" t="s">
        <v>935</v>
      </c>
      <c r="BD24" s="48"/>
      <c r="BE24" s="48"/>
      <c r="BF24" s="59"/>
      <c r="BH24" s="80" t="s">
        <v>816</v>
      </c>
      <c r="BI24" s="48">
        <f t="shared" ref="BI24:BQ24" si="213">AVERAGE(BI3:BI14)</f>
        <v>487288.41666666669</v>
      </c>
      <c r="BJ24" s="48">
        <f t="shared" si="213"/>
        <v>657770.47666666668</v>
      </c>
      <c r="BK24" s="48">
        <f t="shared" si="213"/>
        <v>897286.83333333337</v>
      </c>
      <c r="BL24" s="48">
        <f t="shared" si="213"/>
        <v>1174853.4166666667</v>
      </c>
      <c r="BM24" s="48">
        <f t="shared" si="213"/>
        <v>1335638.9166666667</v>
      </c>
      <c r="BN24" s="48">
        <f t="shared" si="213"/>
        <v>1309314.2125000001</v>
      </c>
      <c r="BO24" s="48">
        <f t="shared" si="213"/>
        <v>1546452.1458333333</v>
      </c>
      <c r="BP24" s="48">
        <f t="shared" si="213"/>
        <v>1375071.5018</v>
      </c>
      <c r="BQ24" s="48">
        <f t="shared" si="213"/>
        <v>1245738.6909333335</v>
      </c>
      <c r="BR24" s="48">
        <f t="shared" ref="BR24:BX24" si="214">AVERAGE(BR3:BR14)</f>
        <v>1092101.0589999999</v>
      </c>
      <c r="BS24" s="48">
        <f t="shared" si="214"/>
        <v>968786.66666666663</v>
      </c>
      <c r="BT24" s="48">
        <f t="shared" si="214"/>
        <v>994954.5</v>
      </c>
      <c r="BU24" s="48">
        <f t="shared" si="214"/>
        <v>1124132.8333333333</v>
      </c>
      <c r="BV24" s="48">
        <f t="shared" si="214"/>
        <v>1353368.1666666667</v>
      </c>
      <c r="BW24" s="48">
        <f t="shared" si="214"/>
        <v>1155075.9166666667</v>
      </c>
      <c r="BX24" s="48">
        <f t="shared" si="214"/>
        <v>1222916.6666666667</v>
      </c>
      <c r="BY24" s="48">
        <f t="shared" ref="BY24:CD24" si="215">AVERAGE(BY3:BY14)</f>
        <v>1167459.4166666667</v>
      </c>
      <c r="BZ24" s="48">
        <f t="shared" si="215"/>
        <v>1242984.6666666667</v>
      </c>
      <c r="CA24" s="48">
        <f t="shared" si="215"/>
        <v>1420162.3333333333</v>
      </c>
      <c r="CB24" s="48">
        <f t="shared" si="215"/>
        <v>1700160.8333333333</v>
      </c>
      <c r="CC24" s="48">
        <f t="shared" si="215"/>
        <v>2246557.6666666665</v>
      </c>
      <c r="CD24" s="48">
        <f t="shared" si="215"/>
        <v>1755751.0833333333</v>
      </c>
      <c r="CE24" s="48">
        <f>AVERAGE(CE3:CE14)</f>
        <v>1961337.1666666667</v>
      </c>
      <c r="CF24" s="48">
        <f>AVERAGE(CF3:CF14)</f>
        <v>2082114</v>
      </c>
      <c r="CG24" s="48">
        <f>AVERAGE(CG3:CG14)</f>
        <v>1822724.0833333333</v>
      </c>
      <c r="CH24" s="48">
        <f>AVERAGE(CH3:CH14)</f>
        <v>1869739.8</v>
      </c>
      <c r="CI24" s="48" t="e">
        <f>AVERAGE(CI3:CI14)</f>
        <v>#DIV/0!</v>
      </c>
      <c r="CJ24" s="80" t="s">
        <v>816</v>
      </c>
      <c r="CK24" s="48">
        <f>AVERAGE(CK3:CK14)</f>
        <v>1245630.0128466666</v>
      </c>
      <c r="CL24" s="48">
        <f>AVERAGE(CL3:CL14)</f>
        <v>1145269.8563696968</v>
      </c>
      <c r="CO24" s="6"/>
      <c r="CV24" s="57"/>
      <c r="DI24" s="6"/>
      <c r="DJ24" s="6"/>
      <c r="DK24" s="6"/>
      <c r="DL24" s="6"/>
      <c r="DM24" s="6"/>
      <c r="DN24" s="6"/>
      <c r="DO24" s="6"/>
      <c r="DP24" s="6"/>
      <c r="DU24" s="55"/>
      <c r="DV24" s="55"/>
      <c r="DW24" s="55"/>
      <c r="DX24" s="55"/>
      <c r="DY24" s="55"/>
      <c r="DZ24" s="55"/>
      <c r="EA24" s="55"/>
      <c r="EB24" s="55"/>
      <c r="FW24" s="640"/>
      <c r="FX24" s="640"/>
      <c r="FY24" s="640"/>
      <c r="FZ24" s="640"/>
      <c r="GA24" s="640"/>
      <c r="GB24" s="640"/>
      <c r="GC24" s="640"/>
      <c r="GD24" s="640"/>
      <c r="GE24" s="640"/>
      <c r="GF24" s="640"/>
      <c r="GG24" s="640"/>
      <c r="GH24" s="640"/>
      <c r="GI24" s="640"/>
      <c r="GJ24" s="640"/>
      <c r="GK24" s="640"/>
      <c r="GL24" s="24">
        <f>A71</f>
        <v>32751</v>
      </c>
      <c r="GM24" s="97">
        <f>SUM(B69:B71)</f>
        <v>3784818.2</v>
      </c>
      <c r="GN24" s="97">
        <f>SUM(C69:C71)</f>
        <v>13451.410000000003</v>
      </c>
      <c r="GO24" s="5">
        <f t="shared" si="173"/>
        <v>382538.88</v>
      </c>
      <c r="GP24" s="25" t="e">
        <f t="shared" si="155"/>
        <v>#DIV/0!</v>
      </c>
      <c r="GQ24" s="25" t="e">
        <f t="shared" si="156"/>
        <v>#DIV/0!</v>
      </c>
      <c r="GR24" s="48">
        <f t="shared" si="174"/>
        <v>-97518.574999999983</v>
      </c>
      <c r="GS24" s="48">
        <f t="shared" si="196"/>
        <v>380517</v>
      </c>
      <c r="GT24" s="48">
        <f t="shared" si="184"/>
        <v>-390074.29999999993</v>
      </c>
      <c r="GU24" s="48">
        <f t="shared" si="197"/>
        <v>1522068</v>
      </c>
      <c r="GV24" s="75">
        <f t="shared" si="175"/>
        <v>-390074.29999999993</v>
      </c>
      <c r="GW24" s="75">
        <f t="shared" si="128"/>
        <v>1522068</v>
      </c>
      <c r="GX24" s="48">
        <f t="shared" si="145"/>
        <v>-1912142.2999999998</v>
      </c>
      <c r="GY24" s="48">
        <f t="shared" si="129"/>
        <v>565996.85000000009</v>
      </c>
      <c r="GZ24" s="75">
        <f t="shared" si="185"/>
        <v>15833487.350000001</v>
      </c>
      <c r="HA24" s="157">
        <f t="shared" si="146"/>
        <v>-2.4636031935188294E-2</v>
      </c>
      <c r="HB24" s="157"/>
      <c r="HC24" s="179" t="s">
        <v>779</v>
      </c>
      <c r="HE24" s="53"/>
      <c r="HF24" s="53"/>
      <c r="HG24" s="53"/>
      <c r="HH24" s="24">
        <v>34242</v>
      </c>
      <c r="HI24" s="48">
        <v>1261277.79</v>
      </c>
      <c r="HJ24" s="95">
        <v>183978.49300000002</v>
      </c>
      <c r="HK24" s="53"/>
    </row>
    <row r="25" spans="1:219">
      <c r="A25" s="24">
        <v>31351</v>
      </c>
      <c r="B25" s="25">
        <f t="shared" si="130"/>
        <v>853747</v>
      </c>
      <c r="C25" s="25">
        <f t="shared" si="131"/>
        <v>98095</v>
      </c>
      <c r="D25" s="25">
        <f t="shared" si="110"/>
        <v>399925</v>
      </c>
      <c r="E25" s="25">
        <f t="shared" si="132"/>
        <v>36111.416666666664</v>
      </c>
      <c r="F25" s="25"/>
      <c r="G25" s="25"/>
      <c r="H25" s="25">
        <f t="shared" si="133"/>
        <v>433337</v>
      </c>
      <c r="I25" s="25"/>
      <c r="J25" s="25"/>
      <c r="K25" s="25"/>
      <c r="L25" s="25">
        <f t="shared" si="30"/>
        <v>26638</v>
      </c>
      <c r="M25" s="25"/>
      <c r="N25" s="25"/>
      <c r="O25" s="25"/>
      <c r="P25" s="25">
        <f t="shared" si="31"/>
        <v>347835.3593688212</v>
      </c>
      <c r="Q25" s="25">
        <f t="shared" si="32"/>
        <v>-222153.80880728277</v>
      </c>
      <c r="R25" s="25">
        <f t="shared" si="134"/>
        <v>853747</v>
      </c>
      <c r="S25" s="25">
        <f t="shared" si="33"/>
        <v>37878</v>
      </c>
      <c r="T25" s="25">
        <f t="shared" si="34"/>
        <v>1418522.2143234741</v>
      </c>
      <c r="U25" s="25">
        <f t="shared" si="35"/>
        <v>776443.85114146117</v>
      </c>
      <c r="V25" s="25"/>
      <c r="W25" s="25">
        <f t="shared" si="147"/>
        <v>7707076.7199999997</v>
      </c>
      <c r="Y25" s="25">
        <f t="shared" si="148"/>
        <v>1335636.395576</v>
      </c>
      <c r="Z25" s="25"/>
      <c r="AA25" s="80" t="s">
        <v>816</v>
      </c>
      <c r="AB25" s="48">
        <f>AVERAGE(AB3:AB14)</f>
        <v>53150.166666666664</v>
      </c>
      <c r="AC25" s="48">
        <f t="shared" ref="AC25:AQ25" si="216">AVERAGE(AC3:AC14)</f>
        <v>58498.083333333336</v>
      </c>
      <c r="AD25" s="48">
        <f t="shared" si="216"/>
        <v>58938.25</v>
      </c>
      <c r="AE25" s="48">
        <f t="shared" si="216"/>
        <v>88011.083333333328</v>
      </c>
      <c r="AF25" s="48">
        <f t="shared" si="216"/>
        <v>1833.3333333333333</v>
      </c>
      <c r="AG25" s="48">
        <f t="shared" si="216"/>
        <v>49738.26166666668</v>
      </c>
      <c r="AH25" s="48">
        <f t="shared" si="216"/>
        <v>37661.906666666669</v>
      </c>
      <c r="AI25" s="48">
        <f t="shared" si="216"/>
        <v>-45758.265583333348</v>
      </c>
      <c r="AJ25" s="48">
        <f t="shared" si="216"/>
        <v>-26655.293583333336</v>
      </c>
      <c r="AK25" s="48">
        <f t="shared" si="216"/>
        <v>3020.1885833333349</v>
      </c>
      <c r="AL25" s="48">
        <f t="shared" si="216"/>
        <v>-70413.333333333328</v>
      </c>
      <c r="AM25" s="48">
        <f t="shared" si="216"/>
        <v>93492.083333333328</v>
      </c>
      <c r="AN25" s="48">
        <f t="shared" si="216"/>
        <v>155058.16666666666</v>
      </c>
      <c r="AO25" s="48">
        <f t="shared" si="216"/>
        <v>219976.41666666666</v>
      </c>
      <c r="AP25" s="48">
        <f t="shared" si="216"/>
        <v>44025.166666666664</v>
      </c>
      <c r="AQ25" s="48">
        <f t="shared" si="216"/>
        <v>79341.333333333328</v>
      </c>
      <c r="AR25" s="48">
        <f t="shared" ref="AR25:AW25" si="217">AVERAGE(AR3:AR14)</f>
        <v>-21091.166666666668</v>
      </c>
      <c r="AS25" s="48">
        <f t="shared" si="217"/>
        <v>13808.5</v>
      </c>
      <c r="AT25" s="48">
        <f t="shared" si="217"/>
        <v>6367</v>
      </c>
      <c r="AU25" s="48">
        <f t="shared" si="217"/>
        <v>122622.66666666667</v>
      </c>
      <c r="AV25" s="48">
        <f t="shared" si="217"/>
        <v>363982.33333333331</v>
      </c>
      <c r="AW25" s="48">
        <f t="shared" si="217"/>
        <v>45481.166666666664</v>
      </c>
      <c r="AX25" s="48">
        <f>AVERAGE(AX3:AX14)</f>
        <v>161429.41666666666</v>
      </c>
      <c r="AY25" s="48">
        <f>AVERAGE(AY3:AY14)</f>
        <v>162142.75</v>
      </c>
      <c r="AZ25" s="48">
        <f>AVERAGE(AZ3:AZ14)</f>
        <v>4783.166666666667</v>
      </c>
      <c r="BA25" s="48">
        <f>AVERAGE(BA3:BA14)</f>
        <v>57312.7</v>
      </c>
      <c r="BB25" s="48" t="e">
        <f>AVERAGE(BB3:BB14)</f>
        <v>#DIV/0!</v>
      </c>
      <c r="BC25" s="80" t="s">
        <v>816</v>
      </c>
      <c r="BD25" s="48"/>
      <c r="BE25" s="48"/>
      <c r="BF25" s="59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O25" s="6"/>
      <c r="CR25" s="57"/>
      <c r="DI25" s="6"/>
      <c r="DJ25" s="6"/>
      <c r="DK25" s="6"/>
      <c r="DL25" s="6"/>
      <c r="DU25" s="55"/>
      <c r="DV25" s="55"/>
      <c r="DW25" s="55"/>
      <c r="DX25" s="55"/>
      <c r="FS25" s="640"/>
      <c r="FT25" s="640"/>
      <c r="FU25" s="640"/>
      <c r="FV25" s="640"/>
      <c r="FW25" s="640"/>
      <c r="FX25" s="640"/>
      <c r="FY25" s="640"/>
      <c r="FZ25" s="640"/>
      <c r="GA25" s="640"/>
      <c r="GB25" s="640"/>
      <c r="GC25" s="640"/>
      <c r="GD25" s="640"/>
      <c r="GE25" s="640"/>
      <c r="GF25" s="640"/>
      <c r="GG25" s="640"/>
      <c r="GH25" s="640"/>
      <c r="GI25" s="640"/>
      <c r="GJ25" s="640"/>
      <c r="GK25" s="640"/>
      <c r="GL25" s="24">
        <f>A74</f>
        <v>32842</v>
      </c>
      <c r="GM25" s="97">
        <f>SUM(B72:B74)</f>
        <v>3816774.2</v>
      </c>
      <c r="GN25" s="97">
        <f>SUM(C72:C74)</f>
        <v>280478.44</v>
      </c>
      <c r="GO25" s="5">
        <f>((GN24-GN25)^2)^0.5</f>
        <v>267027.03000000003</v>
      </c>
      <c r="GP25" s="25" t="e">
        <f t="shared" si="155"/>
        <v>#DIV/0!</v>
      </c>
      <c r="GQ25" s="25" t="e">
        <f t="shared" si="156"/>
        <v>#DIV/0!</v>
      </c>
      <c r="GR25" s="565" t="e">
        <f>AVERAGE(GK22:GK25)</f>
        <v>#DIV/0!</v>
      </c>
      <c r="GS25" s="48">
        <f t="shared" ref="GS25:GS30" si="218">GR21</f>
        <v>5500</v>
      </c>
      <c r="GT25" s="48">
        <f>SUM(GK22:GK25)</f>
        <v>0</v>
      </c>
      <c r="GU25" s="48">
        <f t="shared" ref="GU25:GU30" si="219">GT21</f>
        <v>22000</v>
      </c>
      <c r="GV25" s="75">
        <f>SUM(GK22:GK25)</f>
        <v>0</v>
      </c>
      <c r="GW25" s="75">
        <f t="shared" ref="GW25:GW30" si="220">GV21</f>
        <v>22000</v>
      </c>
      <c r="GX25" s="48">
        <f t="shared" si="145"/>
        <v>-22000</v>
      </c>
      <c r="GY25" s="48">
        <f t="shared" ref="GY25:GY69" si="221">(GV25+GW25)/2</f>
        <v>11000</v>
      </c>
      <c r="GZ25" s="75">
        <f>SUM(GJ22:GJ24)</f>
        <v>0</v>
      </c>
      <c r="HA25" s="157" t="e">
        <f t="shared" ref="HA25:HA40" si="222">GV25/GZ25</f>
        <v>#DIV/0!</v>
      </c>
      <c r="HB25" s="4"/>
      <c r="HC25" s="292">
        <f t="shared" ref="HC25:HC35" si="223">(GZ25-GZ21)/GZ21</f>
        <v>-1</v>
      </c>
      <c r="HE25" s="53"/>
      <c r="HF25" s="53"/>
      <c r="HG25" s="53"/>
      <c r="HH25" s="24">
        <v>34273</v>
      </c>
      <c r="HI25" s="48">
        <v>1152859.8500000001</v>
      </c>
      <c r="HJ25" s="95">
        <v>43426.35</v>
      </c>
      <c r="HK25" s="53"/>
    </row>
    <row r="26" spans="1:219">
      <c r="A26" s="24">
        <v>31381</v>
      </c>
      <c r="B26" s="25">
        <f t="shared" si="130"/>
        <v>763976</v>
      </c>
      <c r="C26" s="25">
        <f t="shared" si="131"/>
        <v>32694</v>
      </c>
      <c r="D26" s="25">
        <f t="shared" si="110"/>
        <v>255522</v>
      </c>
      <c r="E26" s="25">
        <f t="shared" si="132"/>
        <v>58498.083333333336</v>
      </c>
      <c r="F26" s="25"/>
      <c r="G26" s="25"/>
      <c r="H26" s="25">
        <f t="shared" si="133"/>
        <v>701977</v>
      </c>
      <c r="I26" s="25"/>
      <c r="J26" s="25"/>
      <c r="K26" s="25"/>
      <c r="L26" s="25">
        <f t="shared" si="30"/>
        <v>65401</v>
      </c>
      <c r="M26" s="25"/>
      <c r="N26" s="25"/>
      <c r="O26" s="25"/>
      <c r="P26" s="25">
        <f t="shared" si="31"/>
        <v>347835.3593688212</v>
      </c>
      <c r="Q26" s="25">
        <f t="shared" si="32"/>
        <v>-222153.80880728277</v>
      </c>
      <c r="R26" s="25">
        <f t="shared" si="134"/>
        <v>763976</v>
      </c>
      <c r="S26" s="25">
        <f t="shared" si="33"/>
        <v>89771</v>
      </c>
      <c r="T26" s="25">
        <f t="shared" si="34"/>
        <v>1418522.2143234741</v>
      </c>
      <c r="U26" s="25">
        <f t="shared" si="35"/>
        <v>776443.85114146117</v>
      </c>
      <c r="V26" s="25"/>
      <c r="W26" s="25">
        <f t="shared" si="147"/>
        <v>7893245.7199999997</v>
      </c>
      <c r="X26" s="157"/>
      <c r="Y26" s="25">
        <f t="shared" si="148"/>
        <v>1367899.483276</v>
      </c>
      <c r="Z26" s="25"/>
      <c r="AA26" s="80"/>
      <c r="AB26" s="275"/>
      <c r="AC26" s="48"/>
      <c r="AD26" s="48"/>
      <c r="AE26" s="48"/>
      <c r="AF26" s="271"/>
      <c r="AG26" s="48"/>
      <c r="AH26" s="48"/>
      <c r="AI26" s="48"/>
      <c r="AJ26" s="279"/>
      <c r="AK26" s="48"/>
      <c r="AL26" s="48"/>
      <c r="AM26" s="48"/>
      <c r="AN26" s="48"/>
      <c r="AO26" s="48"/>
      <c r="AP26" s="602"/>
      <c r="AQ26" s="602"/>
      <c r="AR26" s="602"/>
      <c r="AS26" s="602"/>
      <c r="AT26" s="602"/>
      <c r="AU26" s="602"/>
      <c r="AV26" s="602"/>
      <c r="AW26" s="602"/>
      <c r="AX26" s="602"/>
      <c r="AY26" s="602"/>
      <c r="AZ26" s="602"/>
      <c r="BA26" s="602"/>
      <c r="BB26" s="602"/>
      <c r="BC26" s="48"/>
      <c r="BD26" s="48"/>
      <c r="BE26" s="48"/>
      <c r="BF26" s="59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O26" s="6"/>
      <c r="CR26" s="57"/>
      <c r="DI26" s="6"/>
      <c r="DJ26" s="6"/>
      <c r="DK26" s="6"/>
      <c r="DL26" s="6"/>
      <c r="DU26" s="55"/>
      <c r="DV26" s="55"/>
      <c r="DW26" s="55"/>
      <c r="DX26" s="55"/>
      <c r="FS26" s="640"/>
      <c r="FT26" s="640"/>
      <c r="FU26" s="640"/>
      <c r="FV26" s="640"/>
      <c r="FW26" s="640"/>
      <c r="FX26" s="640"/>
      <c r="FY26" s="640"/>
      <c r="FZ26" s="640"/>
      <c r="GA26" s="640"/>
      <c r="GB26" s="640"/>
      <c r="GC26" s="640"/>
      <c r="GD26" s="640"/>
      <c r="GE26" s="640"/>
      <c r="GF26" s="640"/>
      <c r="GG26" s="640"/>
      <c r="GH26" s="640"/>
      <c r="GI26" s="640"/>
      <c r="GJ26" s="640"/>
      <c r="GK26" s="640"/>
      <c r="GL26" s="24">
        <f>A77</f>
        <v>32932</v>
      </c>
      <c r="GM26" s="97">
        <f>SUM(B75:B77)</f>
        <v>3531294.06</v>
      </c>
      <c r="GN26" s="97">
        <f>SUM(C75:C77)</f>
        <v>-330557.32999999996</v>
      </c>
      <c r="GO26" s="5">
        <f t="shared" ref="GO26:GO47" si="224">((GN25-GN26)^2)^0.5</f>
        <v>611035.77</v>
      </c>
      <c r="GP26" s="25" t="e">
        <f t="shared" si="155"/>
        <v>#DIV/0!</v>
      </c>
      <c r="GQ26" s="25" t="e">
        <f t="shared" si="156"/>
        <v>#DIV/0!</v>
      </c>
      <c r="GR26" s="48" t="e">
        <f>AVERAGE(GK23:GK26)</f>
        <v>#DIV/0!</v>
      </c>
      <c r="GS26" s="48">
        <f t="shared" si="218"/>
        <v>-17708.75</v>
      </c>
      <c r="GT26" s="48">
        <f>SUM(GK23:GK26)</f>
        <v>0</v>
      </c>
      <c r="GU26" s="48">
        <f t="shared" si="219"/>
        <v>-70835</v>
      </c>
      <c r="GV26" s="75">
        <f>SUM(GK23:GK26)</f>
        <v>0</v>
      </c>
      <c r="GW26" s="75">
        <f t="shared" si="220"/>
        <v>-70835</v>
      </c>
      <c r="GX26" s="48">
        <f t="shared" si="145"/>
        <v>70835</v>
      </c>
      <c r="GY26" s="48">
        <f t="shared" si="221"/>
        <v>-35417.5</v>
      </c>
      <c r="GZ26" s="75">
        <f>SUM(GJ23:GJ24)</f>
        <v>0</v>
      </c>
      <c r="HA26" s="157" t="e">
        <f t="shared" si="222"/>
        <v>#DIV/0!</v>
      </c>
      <c r="HB26" s="4"/>
      <c r="HC26" s="292">
        <f t="shared" si="223"/>
        <v>-1</v>
      </c>
      <c r="HE26" s="53"/>
      <c r="HF26" s="53"/>
      <c r="HG26" s="53"/>
      <c r="HH26" s="24">
        <v>34303</v>
      </c>
      <c r="HI26" s="48">
        <v>1212117</v>
      </c>
      <c r="HJ26" s="95">
        <v>50042.01</v>
      </c>
      <c r="HK26" s="53"/>
    </row>
    <row r="27" spans="1:219" ht="14" thickBot="1">
      <c r="A27" s="24">
        <v>31412</v>
      </c>
      <c r="B27" s="25">
        <f t="shared" ref="B27:B38" si="225">BK3</f>
        <v>741407</v>
      </c>
      <c r="C27" s="25">
        <f t="shared" ref="C27:C38" si="226">AD3</f>
        <v>97062</v>
      </c>
      <c r="D27" s="25">
        <f t="shared" si="110"/>
        <v>227851</v>
      </c>
      <c r="E27" s="25">
        <f t="shared" si="132"/>
        <v>64637.083333333336</v>
      </c>
      <c r="F27" s="25"/>
      <c r="G27" s="25"/>
      <c r="H27" s="25">
        <f t="shared" si="133"/>
        <v>775645</v>
      </c>
      <c r="I27" s="25"/>
      <c r="J27" s="25"/>
      <c r="K27" s="25"/>
      <c r="L27" s="25">
        <f t="shared" si="30"/>
        <v>64368</v>
      </c>
      <c r="M27" s="25"/>
      <c r="N27" s="25"/>
      <c r="O27" s="25"/>
      <c r="P27" s="25">
        <f t="shared" si="31"/>
        <v>347835.3593688212</v>
      </c>
      <c r="Q27" s="25">
        <f t="shared" si="32"/>
        <v>-222153.80880728277</v>
      </c>
      <c r="R27" s="25">
        <f t="shared" ref="R27:R38" si="227">BK3</f>
        <v>741407</v>
      </c>
      <c r="S27" s="25">
        <f t="shared" si="33"/>
        <v>22569</v>
      </c>
      <c r="T27" s="25">
        <f t="shared" si="34"/>
        <v>1418522.2143234741</v>
      </c>
      <c r="U27" s="25">
        <f t="shared" si="35"/>
        <v>776443.85114146117</v>
      </c>
      <c r="V27" s="25"/>
      <c r="W27" s="25">
        <f t="shared" si="147"/>
        <v>8205281.7199999997</v>
      </c>
      <c r="X27" s="157">
        <f t="shared" ref="X27:X90" si="228">(W27-W15)/W15</f>
        <v>0.38356051330777635</v>
      </c>
      <c r="Y27" s="25">
        <f t="shared" si="148"/>
        <v>1421975.322076</v>
      </c>
      <c r="Z27" s="25"/>
      <c r="AC27" s="97"/>
      <c r="AD27"/>
      <c r="AE27" s="25"/>
      <c r="BC27" s="6"/>
      <c r="BE27" s="101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O27" s="6"/>
      <c r="CQ27" s="57"/>
      <c r="DI27" s="6"/>
      <c r="DJ27" s="6"/>
      <c r="DK27" s="6"/>
      <c r="DU27" s="55"/>
      <c r="DV27" s="55"/>
      <c r="DW27" s="55"/>
      <c r="FR27" s="640"/>
      <c r="FS27" s="640"/>
      <c r="FT27" s="640"/>
      <c r="FU27" s="640"/>
      <c r="FV27" s="640"/>
      <c r="FW27" s="640"/>
      <c r="FX27" s="640"/>
      <c r="FY27" s="640"/>
      <c r="FZ27" s="640"/>
      <c r="GA27" s="640"/>
      <c r="GB27" s="640"/>
      <c r="GC27" s="640"/>
      <c r="GD27" s="640"/>
      <c r="GE27" s="640"/>
      <c r="GF27" s="640"/>
      <c r="GG27" s="640"/>
      <c r="GH27" s="640"/>
      <c r="GI27" s="640"/>
      <c r="GJ27" s="640"/>
      <c r="GK27" s="640"/>
      <c r="GL27" s="24">
        <f>A80</f>
        <v>33024</v>
      </c>
      <c r="GM27" s="97">
        <f>SUM(B78:B80)</f>
        <v>4665266.0999999996</v>
      </c>
      <c r="GN27" s="97">
        <f>SUM(C78:C80)</f>
        <v>130843.20999999999</v>
      </c>
      <c r="GO27" s="5">
        <f>((GN26-GN27)^2)^0.5</f>
        <v>461400.53999999992</v>
      </c>
      <c r="GP27" s="25" t="e">
        <f t="shared" si="155"/>
        <v>#DIV/0!</v>
      </c>
      <c r="GQ27" s="25" t="e">
        <f t="shared" si="156"/>
        <v>#DIV/0!</v>
      </c>
      <c r="GR27" s="48" t="e">
        <f>AVERAGE(GJ24:GJ26)</f>
        <v>#DIV/0!</v>
      </c>
      <c r="GS27" s="48">
        <f t="shared" si="218"/>
        <v>6484.8225000000093</v>
      </c>
      <c r="GT27" s="48">
        <f>SUM(GJ24:GJ26)</f>
        <v>0</v>
      </c>
      <c r="GU27" s="48">
        <f t="shared" si="219"/>
        <v>25939.290000000037</v>
      </c>
      <c r="GV27" s="75">
        <f>SUM(GJ24:GJ26)</f>
        <v>0</v>
      </c>
      <c r="GW27" s="75">
        <f t="shared" si="220"/>
        <v>25939.290000000037</v>
      </c>
      <c r="GX27" s="48">
        <f t="shared" si="145"/>
        <v>-25939.290000000037</v>
      </c>
      <c r="GY27" s="48">
        <f t="shared" si="221"/>
        <v>12969.645000000019</v>
      </c>
      <c r="GZ27" s="75">
        <f>SUM(GI24:GI27)</f>
        <v>0</v>
      </c>
      <c r="HA27" s="157" t="e">
        <f t="shared" si="222"/>
        <v>#DIV/0!</v>
      </c>
      <c r="HB27" s="4"/>
      <c r="HC27" s="292">
        <f t="shared" si="223"/>
        <v>-1</v>
      </c>
      <c r="HE27" s="53"/>
      <c r="HF27" s="53"/>
      <c r="HG27" s="53"/>
      <c r="HH27" s="24">
        <v>34334</v>
      </c>
      <c r="HI27" s="48">
        <v>947414</v>
      </c>
      <c r="HJ27" s="95">
        <v>82431</v>
      </c>
      <c r="HK27" s="53"/>
    </row>
    <row r="28" spans="1:219" ht="14" thickBot="1">
      <c r="A28" s="24">
        <v>31443</v>
      </c>
      <c r="B28" s="25">
        <f t="shared" si="225"/>
        <v>504044</v>
      </c>
      <c r="C28" s="25">
        <f t="shared" si="226"/>
        <v>-132682</v>
      </c>
      <c r="D28" s="25">
        <f t="shared" si="110"/>
        <v>-2926</v>
      </c>
      <c r="E28" s="25">
        <f t="shared" si="132"/>
        <v>61514.583333333336</v>
      </c>
      <c r="F28" s="25"/>
      <c r="G28" s="25"/>
      <c r="H28" s="25">
        <f t="shared" si="133"/>
        <v>738175</v>
      </c>
      <c r="I28" s="25"/>
      <c r="J28" s="25"/>
      <c r="K28" s="25">
        <f>AVERAGE(C26+C27+C28)</f>
        <v>-2926</v>
      </c>
      <c r="L28" s="25">
        <f t="shared" si="30"/>
        <v>229744</v>
      </c>
      <c r="M28" s="25"/>
      <c r="N28" s="25"/>
      <c r="O28" s="25"/>
      <c r="P28" s="25">
        <f t="shared" si="31"/>
        <v>347835.3593688212</v>
      </c>
      <c r="Q28" s="25">
        <f t="shared" si="32"/>
        <v>-222153.80880728277</v>
      </c>
      <c r="R28" s="25">
        <f t="shared" si="227"/>
        <v>504044</v>
      </c>
      <c r="S28" s="25">
        <f t="shared" si="33"/>
        <v>237363</v>
      </c>
      <c r="T28" s="25">
        <f t="shared" si="34"/>
        <v>1418522.2143234741</v>
      </c>
      <c r="U28" s="25">
        <f t="shared" si="35"/>
        <v>776443.85114146117</v>
      </c>
      <c r="V28" s="25"/>
      <c r="W28" s="25">
        <f t="shared" si="147"/>
        <v>8303824</v>
      </c>
      <c r="X28" s="157">
        <f t="shared" si="228"/>
        <v>0.39978621655780183</v>
      </c>
      <c r="Y28" s="25">
        <f t="shared" si="148"/>
        <v>1439052.6992000001</v>
      </c>
      <c r="Z28" s="25"/>
      <c r="AC28"/>
      <c r="AD28"/>
      <c r="AF28" s="267"/>
      <c r="AH28" s="123" t="s">
        <v>8</v>
      </c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3"/>
      <c r="BE28"/>
      <c r="BF28"/>
      <c r="BG28"/>
      <c r="BH28" s="59"/>
      <c r="BI28" s="48"/>
      <c r="BN28" s="6"/>
      <c r="BO28" s="6"/>
      <c r="BP28" s="6"/>
      <c r="BQ28" s="6"/>
      <c r="BR28" s="6"/>
      <c r="BS28" s="6"/>
      <c r="BT28" s="6"/>
      <c r="BU28" s="6"/>
      <c r="BV28" s="6"/>
      <c r="BW28" s="48">
        <f>SUM(BX3:BX5)</f>
        <v>2668385</v>
      </c>
      <c r="BX28" s="6"/>
      <c r="BY28" s="6"/>
      <c r="BZ28" s="6"/>
      <c r="CA28" s="6"/>
      <c r="CB28" s="6"/>
      <c r="CC28" s="6"/>
      <c r="CD28" s="6"/>
      <c r="CE28" s="6"/>
      <c r="CO28" s="6"/>
      <c r="CQ28" s="57"/>
      <c r="DI28" s="6"/>
      <c r="DJ28" s="6"/>
      <c r="DK28" s="6"/>
      <c r="DU28" s="55"/>
      <c r="DV28" s="55"/>
      <c r="DW28" s="55"/>
      <c r="FR28" s="640"/>
      <c r="FS28" s="640"/>
      <c r="FT28" s="640"/>
      <c r="FU28" s="640"/>
      <c r="FV28" s="640"/>
      <c r="FW28" s="640"/>
      <c r="FX28" s="640"/>
      <c r="FY28" s="640"/>
      <c r="FZ28" s="640"/>
      <c r="GA28" s="640"/>
      <c r="GB28" s="640"/>
      <c r="GC28" s="640"/>
      <c r="GD28" s="640"/>
      <c r="GE28" s="640"/>
      <c r="GF28" s="640"/>
      <c r="GG28" s="640"/>
      <c r="GH28" s="640"/>
      <c r="GI28" s="640"/>
      <c r="GJ28" s="640"/>
      <c r="GK28" s="640"/>
      <c r="GL28" s="24">
        <f>A83</f>
        <v>33116</v>
      </c>
      <c r="GM28" s="97">
        <f>SUM(B81:B83)</f>
        <v>4912298.59</v>
      </c>
      <c r="GN28" s="97">
        <f>SUM(C81:C83)</f>
        <v>240638</v>
      </c>
      <c r="GO28" s="5">
        <f t="shared" si="224"/>
        <v>109794.79000000001</v>
      </c>
      <c r="GP28" s="25" t="e">
        <f t="shared" si="155"/>
        <v>#DIV/0!</v>
      </c>
      <c r="GQ28" s="25" t="e">
        <f t="shared" si="156"/>
        <v>#DIV/0!</v>
      </c>
      <c r="GR28" s="48" t="e">
        <f>AVERAGE(GP25:GP28)</f>
        <v>#DIV/0!</v>
      </c>
      <c r="GS28" s="48">
        <f t="shared" si="218"/>
        <v>-97518.574999999983</v>
      </c>
      <c r="GT28" s="48" t="e">
        <f>SUM(GP25:GP28)</f>
        <v>#DIV/0!</v>
      </c>
      <c r="GU28" s="48">
        <f t="shared" si="219"/>
        <v>-390074.29999999993</v>
      </c>
      <c r="GV28" s="75" t="e">
        <f>SUM(GP25:GP28)</f>
        <v>#DIV/0!</v>
      </c>
      <c r="GW28" s="75">
        <f t="shared" si="220"/>
        <v>-390074.29999999993</v>
      </c>
      <c r="GX28" s="48" t="e">
        <f t="shared" si="145"/>
        <v>#DIV/0!</v>
      </c>
      <c r="GY28" s="48" t="e">
        <f t="shared" si="221"/>
        <v>#DIV/0!</v>
      </c>
      <c r="GZ28" s="75">
        <f>SUM(GO25:GO28)</f>
        <v>1449258.13</v>
      </c>
      <c r="HA28" s="157" t="e">
        <f t="shared" si="222"/>
        <v>#DIV/0!</v>
      </c>
      <c r="HB28" s="4"/>
      <c r="HC28" s="292">
        <f t="shared" si="223"/>
        <v>-0.9084687979366719</v>
      </c>
      <c r="HE28" s="53"/>
      <c r="HF28" s="53"/>
      <c r="HG28" s="53"/>
      <c r="HH28" s="24">
        <v>34365</v>
      </c>
      <c r="HI28" s="48">
        <v>861699</v>
      </c>
      <c r="HJ28" s="95"/>
      <c r="HK28" s="53"/>
    </row>
    <row r="29" spans="1:219" ht="14" thickBot="1">
      <c r="A29" s="24">
        <v>31471</v>
      </c>
      <c r="B29" s="25">
        <f t="shared" si="225"/>
        <v>978280</v>
      </c>
      <c r="C29" s="25">
        <f t="shared" si="226"/>
        <v>251478</v>
      </c>
      <c r="D29" s="25">
        <f t="shared" si="110"/>
        <v>215858</v>
      </c>
      <c r="E29" s="25">
        <f t="shared" si="132"/>
        <v>86997.083333333328</v>
      </c>
      <c r="F29" s="25"/>
      <c r="G29" s="25"/>
      <c r="H29" s="25">
        <f t="shared" si="133"/>
        <v>1043965</v>
      </c>
      <c r="I29" s="25"/>
      <c r="J29" s="25"/>
      <c r="K29" s="25"/>
      <c r="L29" s="25">
        <f t="shared" si="30"/>
        <v>384160</v>
      </c>
      <c r="M29" s="25"/>
      <c r="N29" s="25"/>
      <c r="O29" s="25"/>
      <c r="P29" s="25">
        <f t="shared" si="31"/>
        <v>347835.3593688212</v>
      </c>
      <c r="Q29" s="25">
        <f t="shared" si="32"/>
        <v>-222153.80880728277</v>
      </c>
      <c r="R29" s="25">
        <f t="shared" si="227"/>
        <v>978280</v>
      </c>
      <c r="S29" s="25">
        <f t="shared" si="33"/>
        <v>474236</v>
      </c>
      <c r="T29" s="25">
        <f t="shared" si="34"/>
        <v>1418522.2143234741</v>
      </c>
      <c r="U29" s="25">
        <f t="shared" si="35"/>
        <v>776443.85114146117</v>
      </c>
      <c r="V29" s="25"/>
      <c r="W29" s="25">
        <f t="shared" si="147"/>
        <v>8891815</v>
      </c>
      <c r="X29" s="157">
        <f t="shared" si="228"/>
        <v>0.48590266802148879</v>
      </c>
      <c r="Y29" s="25">
        <f t="shared" si="148"/>
        <v>1540951.5395000002</v>
      </c>
      <c r="Z29" s="25"/>
      <c r="AB29"/>
      <c r="AC29"/>
      <c r="AD29"/>
      <c r="AE29"/>
      <c r="AF29"/>
      <c r="AH29" s="53">
        <v>1994</v>
      </c>
      <c r="AI29" s="53">
        <v>1995</v>
      </c>
      <c r="AJ29" s="53">
        <v>1996</v>
      </c>
      <c r="AK29" s="53">
        <v>1997</v>
      </c>
      <c r="AL29" s="53">
        <v>1998</v>
      </c>
      <c r="AM29" s="53">
        <v>1999</v>
      </c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E29"/>
      <c r="BF29"/>
      <c r="BG29"/>
      <c r="BH29" s="59">
        <v>-376885</v>
      </c>
      <c r="BI29" s="48">
        <v>-264312</v>
      </c>
      <c r="BJ29" s="6">
        <v>-299192</v>
      </c>
      <c r="BK29" s="6">
        <v>598107</v>
      </c>
      <c r="BL29" s="6">
        <v>598853</v>
      </c>
      <c r="BM29" s="6">
        <v>699684</v>
      </c>
      <c r="BN29" s="6">
        <v>102285</v>
      </c>
      <c r="BO29" s="6">
        <v>421137</v>
      </c>
      <c r="BP29" s="6">
        <v>262188</v>
      </c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O29" s="6"/>
      <c r="CQ29" s="57"/>
      <c r="DI29" s="6"/>
      <c r="DJ29" s="6"/>
      <c r="DK29" s="6"/>
      <c r="DU29" s="55"/>
      <c r="DV29" s="55"/>
      <c r="DW29" s="55"/>
      <c r="FR29" s="640"/>
      <c r="FS29" s="640"/>
      <c r="FT29" s="640"/>
      <c r="FU29" s="640"/>
      <c r="FV29" s="640"/>
      <c r="FW29" s="640"/>
      <c r="FX29" s="640"/>
      <c r="FY29" s="640"/>
      <c r="FZ29" s="640"/>
      <c r="GA29" s="640"/>
      <c r="GB29" s="640"/>
      <c r="GC29" s="640"/>
      <c r="GD29" s="640"/>
      <c r="GE29" s="640"/>
      <c r="GF29" s="640"/>
      <c r="GG29" s="640"/>
      <c r="GH29" s="640"/>
      <c r="GI29" s="640"/>
      <c r="GJ29" s="640"/>
      <c r="GK29" s="640"/>
      <c r="GL29" s="24">
        <f>A86</f>
        <v>33207</v>
      </c>
      <c r="GM29" s="97">
        <f>SUM(B84:B86)</f>
        <v>5448567</v>
      </c>
      <c r="GN29" s="97">
        <f>SUM(C84:C86)</f>
        <v>411019</v>
      </c>
      <c r="GO29" s="5">
        <f t="shared" si="224"/>
        <v>170381</v>
      </c>
      <c r="GP29" s="25" t="e">
        <f t="shared" si="155"/>
        <v>#DIV/0!</v>
      </c>
      <c r="GQ29" s="25" t="e">
        <f t="shared" si="156"/>
        <v>#DIV/0!</v>
      </c>
      <c r="GR29" s="48" t="e">
        <f>AVERAGE(GP26:GP29)</f>
        <v>#DIV/0!</v>
      </c>
      <c r="GS29" s="48" t="e">
        <f t="shared" si="218"/>
        <v>#DIV/0!</v>
      </c>
      <c r="GT29" s="48" t="e">
        <f>SUM(GP26:GP29)</f>
        <v>#DIV/0!</v>
      </c>
      <c r="GU29" s="48">
        <f t="shared" si="219"/>
        <v>0</v>
      </c>
      <c r="GV29" s="75" t="e">
        <f>SUM(GP26:GP29)</f>
        <v>#DIV/0!</v>
      </c>
      <c r="GW29" s="75">
        <f t="shared" si="220"/>
        <v>0</v>
      </c>
      <c r="GX29" s="48" t="e">
        <f t="shared" ref="GX29:GX44" si="229">GV29-GW29</f>
        <v>#DIV/0!</v>
      </c>
      <c r="GY29" s="48" t="e">
        <f t="shared" si="221"/>
        <v>#DIV/0!</v>
      </c>
      <c r="GZ29" s="75">
        <f>SUM(GO26:GO29)</f>
        <v>1352612.1</v>
      </c>
      <c r="HA29" s="157" t="e">
        <f t="shared" si="222"/>
        <v>#DIV/0!</v>
      </c>
      <c r="HB29" s="4"/>
      <c r="HC29" s="292" t="e">
        <f t="shared" si="223"/>
        <v>#DIV/0!</v>
      </c>
      <c r="HE29" s="53"/>
      <c r="HF29" s="53"/>
      <c r="HG29" s="53"/>
      <c r="HH29" s="24">
        <v>34393</v>
      </c>
      <c r="HI29" s="48">
        <v>1115770</v>
      </c>
      <c r="HJ29" s="95"/>
      <c r="HK29" s="53"/>
    </row>
    <row r="30" spans="1:219" ht="26" thickBot="1">
      <c r="A30" s="24">
        <v>31502</v>
      </c>
      <c r="B30" s="25">
        <f t="shared" si="225"/>
        <v>878015</v>
      </c>
      <c r="C30" s="25">
        <f t="shared" si="226"/>
        <v>37800</v>
      </c>
      <c r="D30" s="25">
        <f t="shared" si="110"/>
        <v>156596</v>
      </c>
      <c r="E30" s="25">
        <f t="shared" si="132"/>
        <v>99168.5</v>
      </c>
      <c r="F30" s="25"/>
      <c r="G30" s="25"/>
      <c r="H30" s="25">
        <f t="shared" si="133"/>
        <v>1190022</v>
      </c>
      <c r="I30" s="25"/>
      <c r="J30" s="25"/>
      <c r="K30" s="25"/>
      <c r="L30" s="25">
        <f t="shared" si="30"/>
        <v>213678</v>
      </c>
      <c r="M30" s="25"/>
      <c r="N30" s="25"/>
      <c r="O30" s="25"/>
      <c r="P30" s="25">
        <f t="shared" si="31"/>
        <v>347835.3593688212</v>
      </c>
      <c r="Q30" s="25">
        <f t="shared" si="32"/>
        <v>-222153.80880728277</v>
      </c>
      <c r="R30" s="25">
        <f t="shared" si="227"/>
        <v>878015</v>
      </c>
      <c r="S30" s="25">
        <f t="shared" si="33"/>
        <v>100265</v>
      </c>
      <c r="T30" s="25">
        <f t="shared" si="34"/>
        <v>1418522.2143234741</v>
      </c>
      <c r="U30" s="25">
        <f t="shared" si="35"/>
        <v>776443.85114146117</v>
      </c>
      <c r="V30" s="25"/>
      <c r="W30" s="25">
        <f t="shared" si="147"/>
        <v>9447734</v>
      </c>
      <c r="X30" s="157">
        <f t="shared" si="228"/>
        <v>0.58756263042014412</v>
      </c>
      <c r="Y30" s="25">
        <f t="shared" si="148"/>
        <v>1637292.3022</v>
      </c>
      <c r="Z30" s="25"/>
      <c r="AB30" s="798" t="s">
        <v>1302</v>
      </c>
      <c r="AC30" s="799"/>
      <c r="AD30" s="800"/>
      <c r="AE30"/>
      <c r="AF30"/>
      <c r="AH30" s="60" t="s">
        <v>936</v>
      </c>
      <c r="AI30" s="60" t="s">
        <v>936</v>
      </c>
      <c r="AJ30" s="60" t="s">
        <v>936</v>
      </c>
      <c r="AK30" s="60" t="s">
        <v>936</v>
      </c>
      <c r="AL30" s="60" t="s">
        <v>936</v>
      </c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E30"/>
      <c r="BF30"/>
      <c r="BG30"/>
      <c r="BH30" s="59"/>
      <c r="BI30" s="48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O30" s="6"/>
      <c r="CQ30" s="57"/>
      <c r="DI30" s="6"/>
      <c r="DJ30" s="6"/>
      <c r="DK30" s="6"/>
      <c r="DU30" s="55"/>
      <c r="DV30" s="55"/>
      <c r="DW30" s="55"/>
      <c r="FR30" s="640"/>
      <c r="FS30" s="640"/>
      <c r="FT30" s="640"/>
      <c r="FU30" s="640"/>
      <c r="FV30" s="640"/>
      <c r="FW30" s="640"/>
      <c r="FX30" s="640"/>
      <c r="FY30" s="640"/>
      <c r="FZ30" s="640"/>
      <c r="GA30" s="640"/>
      <c r="GB30" s="640"/>
      <c r="GC30" s="640"/>
      <c r="GD30" s="640"/>
      <c r="GE30" s="640"/>
      <c r="GF30" s="640"/>
      <c r="GG30" s="640"/>
      <c r="GH30" s="640"/>
      <c r="GI30" s="640"/>
      <c r="GJ30" s="640"/>
      <c r="GK30" s="640"/>
      <c r="GL30" s="24">
        <f>A89</f>
        <v>33297</v>
      </c>
      <c r="GM30" s="97">
        <f>SUM(B87:B89)</f>
        <v>4064130.5284000002</v>
      </c>
      <c r="GN30" s="97">
        <f>SUM(C87:C89)</f>
        <v>-374970.90900000004</v>
      </c>
      <c r="GO30" s="5">
        <f t="shared" si="224"/>
        <v>785989.90899999999</v>
      </c>
      <c r="GP30" s="25" t="e">
        <f t="shared" si="155"/>
        <v>#DIV/0!</v>
      </c>
      <c r="GQ30" s="25" t="e">
        <f t="shared" si="156"/>
        <v>#DIV/0!</v>
      </c>
      <c r="GR30" s="48">
        <f t="shared" si="174"/>
        <v>101882.32524999998</v>
      </c>
      <c r="GS30" s="48" t="e">
        <f t="shared" si="218"/>
        <v>#DIV/0!</v>
      </c>
      <c r="GT30" s="48">
        <f t="shared" si="184"/>
        <v>407529.30099999992</v>
      </c>
      <c r="GU30" s="48">
        <f t="shared" si="219"/>
        <v>0</v>
      </c>
      <c r="GV30" s="75">
        <f t="shared" si="175"/>
        <v>407529.30099999992</v>
      </c>
      <c r="GW30" s="75">
        <f t="shared" si="220"/>
        <v>0</v>
      </c>
      <c r="GX30" s="48">
        <f t="shared" si="229"/>
        <v>407529.30099999992</v>
      </c>
      <c r="GY30" s="48">
        <f t="shared" si="221"/>
        <v>203764.65049999996</v>
      </c>
      <c r="GZ30" s="408">
        <f t="shared" si="185"/>
        <v>19090262.218400002</v>
      </c>
      <c r="HA30" s="157">
        <f t="shared" si="222"/>
        <v>2.1347496243776368E-2</v>
      </c>
      <c r="HB30" s="4"/>
      <c r="HC30" s="292" t="e">
        <f t="shared" si="223"/>
        <v>#DIV/0!</v>
      </c>
      <c r="HE30" s="53"/>
      <c r="HF30" s="53"/>
      <c r="HG30" s="53"/>
      <c r="HH30" s="24">
        <v>34424</v>
      </c>
      <c r="HI30" s="48">
        <v>945492</v>
      </c>
      <c r="HJ30" s="95"/>
      <c r="HK30" s="53"/>
    </row>
    <row r="31" spans="1:219" ht="14" thickBot="1">
      <c r="A31" s="24">
        <v>31532</v>
      </c>
      <c r="B31" s="25">
        <f t="shared" si="225"/>
        <v>819672</v>
      </c>
      <c r="C31" s="25">
        <f t="shared" si="226"/>
        <v>16503</v>
      </c>
      <c r="D31" s="25">
        <f t="shared" si="110"/>
        <v>305781</v>
      </c>
      <c r="E31" s="25">
        <f t="shared" si="132"/>
        <v>87831.416666666672</v>
      </c>
      <c r="F31" s="25"/>
      <c r="G31" s="25"/>
      <c r="H31" s="25">
        <f t="shared" si="133"/>
        <v>1053977</v>
      </c>
      <c r="I31" s="25"/>
      <c r="J31" s="25"/>
      <c r="K31" s="25"/>
      <c r="L31" s="25">
        <f t="shared" si="30"/>
        <v>21297</v>
      </c>
      <c r="M31" s="25"/>
      <c r="N31" s="25"/>
      <c r="O31" s="25"/>
      <c r="P31" s="25">
        <f t="shared" si="31"/>
        <v>347835.3593688212</v>
      </c>
      <c r="Q31" s="25">
        <f t="shared" si="32"/>
        <v>-222153.80880728277</v>
      </c>
      <c r="R31" s="25">
        <f t="shared" si="227"/>
        <v>819672</v>
      </c>
      <c r="S31" s="25">
        <f t="shared" si="33"/>
        <v>58343</v>
      </c>
      <c r="T31" s="25">
        <f t="shared" si="34"/>
        <v>1418522.2143234741</v>
      </c>
      <c r="U31" s="25">
        <f t="shared" si="35"/>
        <v>776443.85114146117</v>
      </c>
      <c r="V31" s="25"/>
      <c r="W31" s="25">
        <f t="shared" si="147"/>
        <v>9582389</v>
      </c>
      <c r="X31" s="157">
        <f t="shared" si="228"/>
        <v>0.50771779825519425</v>
      </c>
      <c r="Y31" s="25">
        <f t="shared" si="148"/>
        <v>1660628.0137</v>
      </c>
      <c r="Z31" s="25"/>
      <c r="AB31" s="218" t="s">
        <v>495</v>
      </c>
      <c r="AC31" s="219" t="s">
        <v>809</v>
      </c>
      <c r="AD31" s="220" t="s">
        <v>863</v>
      </c>
      <c r="AE31" s="645" t="s">
        <v>1538</v>
      </c>
      <c r="AF31" s="646" t="s">
        <v>1539</v>
      </c>
      <c r="AG31" s="125" t="s">
        <v>387</v>
      </c>
      <c r="AH31" s="59"/>
      <c r="AI31" s="59"/>
      <c r="AJ31" s="59">
        <v>-211387.42</v>
      </c>
      <c r="AK31" s="59">
        <v>11466.44</v>
      </c>
      <c r="AL31" s="26">
        <v>112286</v>
      </c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59"/>
      <c r="BE31"/>
      <c r="BF31"/>
      <c r="BG31"/>
      <c r="BH31" s="59"/>
      <c r="BI31" s="4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>
        <v>1890034</v>
      </c>
      <c r="CA31" s="6">
        <v>1658112</v>
      </c>
      <c r="CB31" s="6">
        <v>2225883</v>
      </c>
      <c r="CC31" s="6"/>
      <c r="CD31" s="6"/>
      <c r="CE31" s="6"/>
      <c r="CO31" s="6"/>
      <c r="CQ31" s="57"/>
      <c r="DI31" s="6"/>
      <c r="DJ31" s="6"/>
      <c r="DK31" s="6"/>
      <c r="DU31" s="55"/>
      <c r="DV31" s="55"/>
      <c r="DW31" s="55"/>
      <c r="FR31" s="640"/>
      <c r="FS31" s="640"/>
      <c r="FT31" s="640"/>
      <c r="FU31" s="640"/>
      <c r="FV31" s="640"/>
      <c r="FW31" s="640"/>
      <c r="FX31" s="640"/>
      <c r="FY31" s="640"/>
      <c r="FZ31" s="640"/>
      <c r="GA31" s="640"/>
      <c r="GB31" s="640"/>
      <c r="GC31" s="640"/>
      <c r="GD31" s="640"/>
      <c r="GE31" s="640"/>
      <c r="GF31" s="640"/>
      <c r="GG31" s="640"/>
      <c r="GH31" s="640"/>
      <c r="GI31" s="640"/>
      <c r="GJ31" s="640"/>
      <c r="GK31" s="640"/>
      <c r="GL31" s="24">
        <f>A92</f>
        <v>33389</v>
      </c>
      <c r="GM31" s="97">
        <f>SUM(B90:B92)</f>
        <v>4196855.6012000004</v>
      </c>
      <c r="GN31" s="97">
        <f>SUM(C90:C92)</f>
        <v>-437287.96950000001</v>
      </c>
      <c r="GO31" s="5">
        <f t="shared" si="224"/>
        <v>62317.060499999963</v>
      </c>
      <c r="GP31" s="25" t="e">
        <f t="shared" si="155"/>
        <v>#DIV/0!</v>
      </c>
      <c r="GQ31" s="25" t="e">
        <f t="shared" si="156"/>
        <v>#DIV/0!</v>
      </c>
      <c r="GR31" s="48">
        <f t="shared" si="174"/>
        <v>-40150.469625000012</v>
      </c>
      <c r="GS31" s="48" t="e">
        <f t="shared" ref="GS31:GS55" si="230">GR27</f>
        <v>#DIV/0!</v>
      </c>
      <c r="GT31" s="48">
        <f t="shared" si="184"/>
        <v>-160601.87850000005</v>
      </c>
      <c r="GU31" s="48">
        <f t="shared" ref="GU31:GU53" si="231">GT27</f>
        <v>0</v>
      </c>
      <c r="GV31" s="75">
        <f t="shared" si="175"/>
        <v>-160601.87850000005</v>
      </c>
      <c r="GW31" s="75">
        <f t="shared" ref="GW31:GW53" si="232">GV27</f>
        <v>0</v>
      </c>
      <c r="GX31" s="48">
        <f t="shared" si="229"/>
        <v>-160601.87850000005</v>
      </c>
      <c r="GY31" s="48">
        <f t="shared" si="221"/>
        <v>-80300.939250000025</v>
      </c>
      <c r="GZ31" s="75">
        <f t="shared" si="185"/>
        <v>18621851.719599999</v>
      </c>
      <c r="HA31" s="157">
        <f t="shared" si="222"/>
        <v>-8.6243774742853444E-3</v>
      </c>
      <c r="HB31" s="4"/>
      <c r="HC31" s="292" t="e">
        <f t="shared" si="223"/>
        <v>#DIV/0!</v>
      </c>
      <c r="HE31" s="53"/>
      <c r="HF31" s="53"/>
      <c r="HG31" s="53"/>
      <c r="HH31" s="24">
        <v>34454</v>
      </c>
      <c r="HI31" s="48">
        <v>885786</v>
      </c>
      <c r="HJ31" s="95"/>
      <c r="HK31" s="53"/>
    </row>
    <row r="32" spans="1:219" ht="23" customHeight="1">
      <c r="A32" s="24">
        <v>31563</v>
      </c>
      <c r="B32" s="25">
        <f t="shared" si="225"/>
        <v>1067844</v>
      </c>
      <c r="C32" s="25">
        <f t="shared" si="226"/>
        <v>135554</v>
      </c>
      <c r="D32" s="25">
        <f t="shared" si="110"/>
        <v>189857</v>
      </c>
      <c r="E32" s="25">
        <f t="shared" si="132"/>
        <v>84806.833333333328</v>
      </c>
      <c r="F32" s="25"/>
      <c r="G32" s="25"/>
      <c r="H32" s="25">
        <f t="shared" si="133"/>
        <v>1017682</v>
      </c>
      <c r="I32" s="25"/>
      <c r="J32" s="25"/>
      <c r="K32" s="25"/>
      <c r="L32" s="25">
        <f t="shared" si="30"/>
        <v>119051</v>
      </c>
      <c r="M32" s="25"/>
      <c r="N32" s="25"/>
      <c r="O32" s="25"/>
      <c r="P32" s="25">
        <f t="shared" si="31"/>
        <v>347835.3593688212</v>
      </c>
      <c r="Q32" s="25">
        <f t="shared" si="32"/>
        <v>-222153.80880728277</v>
      </c>
      <c r="R32" s="25">
        <f t="shared" si="227"/>
        <v>1067844</v>
      </c>
      <c r="S32" s="25">
        <f t="shared" si="33"/>
        <v>248172</v>
      </c>
      <c r="T32" s="25">
        <f t="shared" si="34"/>
        <v>1418522.2143234741</v>
      </c>
      <c r="U32" s="25">
        <f t="shared" si="35"/>
        <v>776443.85114146117</v>
      </c>
      <c r="V32" s="25"/>
      <c r="W32" s="25">
        <f t="shared" si="147"/>
        <v>9788785</v>
      </c>
      <c r="X32" s="157">
        <f t="shared" si="228"/>
        <v>0.46846487843310003</v>
      </c>
      <c r="Y32" s="25">
        <f t="shared" si="148"/>
        <v>1696396.4405</v>
      </c>
      <c r="Z32" s="25"/>
      <c r="AB32" s="221">
        <v>1988</v>
      </c>
      <c r="AC32" s="222">
        <v>5847461</v>
      </c>
      <c r="AD32" s="647">
        <v>637802</v>
      </c>
      <c r="AE32"/>
      <c r="AF32" s="59">
        <f>AD32</f>
        <v>637802</v>
      </c>
      <c r="AG32" s="125" t="s">
        <v>496</v>
      </c>
      <c r="AH32" s="59"/>
      <c r="AI32" s="59"/>
      <c r="AJ32" s="59">
        <v>-11642.82</v>
      </c>
      <c r="AK32" s="59">
        <v>-121095.56</v>
      </c>
      <c r="AL32" s="26">
        <v>-233253</v>
      </c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/>
      <c r="BA32" s="59"/>
      <c r="BC32"/>
      <c r="BD32"/>
      <c r="BE32"/>
      <c r="BF32" s="59"/>
      <c r="BG32" s="4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DI32" s="6"/>
      <c r="DU32" s="55"/>
      <c r="FP32" s="640"/>
      <c r="FQ32" s="640"/>
      <c r="FR32" s="640"/>
      <c r="FS32" s="640"/>
      <c r="FT32" s="640"/>
      <c r="FU32" s="640"/>
      <c r="FV32" s="640"/>
      <c r="FW32" s="640"/>
      <c r="FX32" s="640"/>
      <c r="FY32" s="640"/>
      <c r="FZ32" s="640"/>
      <c r="GA32" s="640"/>
      <c r="GB32" s="640"/>
      <c r="GC32" s="640"/>
      <c r="GD32" s="640"/>
      <c r="GE32" s="640"/>
      <c r="GF32" s="640"/>
      <c r="GG32" s="640"/>
      <c r="GH32" s="640"/>
      <c r="GI32" s="640"/>
      <c r="GJ32" s="640"/>
      <c r="GK32" s="640"/>
      <c r="GL32" s="24">
        <f>A95</f>
        <v>33481</v>
      </c>
      <c r="GM32" s="97">
        <f>SUM(B93:B95)</f>
        <v>4261431.3764000004</v>
      </c>
      <c r="GN32" s="97">
        <f>SUM(C93:C95)</f>
        <v>256563.78150000001</v>
      </c>
      <c r="GO32" s="5">
        <f>((GN31-GN32)^2)^0.5</f>
        <v>693851.75100000005</v>
      </c>
      <c r="GP32" s="25" t="e">
        <f t="shared" si="155"/>
        <v>#DIV/0!</v>
      </c>
      <c r="GQ32" s="25" t="e">
        <f t="shared" si="156"/>
        <v>#DIV/0!</v>
      </c>
      <c r="GR32" s="48">
        <f t="shared" si="174"/>
        <v>-36169.024250000009</v>
      </c>
      <c r="GS32" s="48" t="e">
        <f>GR28</f>
        <v>#DIV/0!</v>
      </c>
      <c r="GT32" s="48">
        <f t="shared" si="184"/>
        <v>-144676.09700000004</v>
      </c>
      <c r="GU32" s="48" t="e">
        <f>GT28</f>
        <v>#DIV/0!</v>
      </c>
      <c r="GV32" s="75">
        <f t="shared" si="175"/>
        <v>-144676.09700000004</v>
      </c>
      <c r="GW32" s="75" t="e">
        <f>GV28</f>
        <v>#DIV/0!</v>
      </c>
      <c r="GX32" s="48" t="e">
        <f t="shared" si="229"/>
        <v>#DIV/0!</v>
      </c>
      <c r="GY32" s="48" t="e">
        <f t="shared" si="221"/>
        <v>#DIV/0!</v>
      </c>
      <c r="GZ32" s="75">
        <f t="shared" si="185"/>
        <v>17970984.506000001</v>
      </c>
      <c r="HA32" s="157">
        <f t="shared" si="222"/>
        <v>-8.0505381856902057E-3</v>
      </c>
      <c r="HB32" s="4"/>
      <c r="HC32" s="292">
        <f t="shared" si="223"/>
        <v>11.400126750367102</v>
      </c>
      <c r="HE32" s="53"/>
      <c r="HF32" s="53"/>
      <c r="HG32" s="53"/>
      <c r="HH32" s="24">
        <v>34485</v>
      </c>
      <c r="HI32" s="48">
        <v>1046300</v>
      </c>
      <c r="HJ32" s="95"/>
      <c r="HK32" s="53"/>
    </row>
    <row r="33" spans="1:219">
      <c r="A33" s="24">
        <v>31593</v>
      </c>
      <c r="B33" s="25">
        <f t="shared" si="225"/>
        <v>967042</v>
      </c>
      <c r="C33" s="25">
        <f t="shared" si="226"/>
        <v>121961</v>
      </c>
      <c r="D33" s="25">
        <f t="shared" si="110"/>
        <v>274018</v>
      </c>
      <c r="E33" s="25">
        <f t="shared" si="132"/>
        <v>88713.75</v>
      </c>
      <c r="F33" s="25"/>
      <c r="G33" s="25"/>
      <c r="H33" s="25">
        <f t="shared" si="133"/>
        <v>1064565</v>
      </c>
      <c r="I33" s="25"/>
      <c r="J33" s="25"/>
      <c r="K33" s="25"/>
      <c r="L33" s="25">
        <f t="shared" si="30"/>
        <v>13593</v>
      </c>
      <c r="M33" s="25"/>
      <c r="N33" s="25"/>
      <c r="O33" s="25"/>
      <c r="P33" s="25">
        <f t="shared" si="31"/>
        <v>347835.3593688212</v>
      </c>
      <c r="Q33" s="25">
        <f t="shared" si="32"/>
        <v>-222153.80880728277</v>
      </c>
      <c r="R33" s="25">
        <f t="shared" si="227"/>
        <v>967042</v>
      </c>
      <c r="S33" s="25">
        <f t="shared" si="33"/>
        <v>100802</v>
      </c>
      <c r="T33" s="25">
        <f t="shared" si="34"/>
        <v>1418522.2143234741</v>
      </c>
      <c r="U33" s="25">
        <f t="shared" si="35"/>
        <v>776443.85114146117</v>
      </c>
      <c r="V33" s="25"/>
      <c r="W33" s="25">
        <f t="shared" si="147"/>
        <v>10074753</v>
      </c>
      <c r="X33" s="157">
        <f t="shared" si="228"/>
        <v>0.50862684978508366</v>
      </c>
      <c r="Y33" s="25">
        <f t="shared" si="148"/>
        <v>1745954.6949</v>
      </c>
      <c r="Z33" s="25"/>
      <c r="AB33" s="224">
        <f t="shared" ref="AB33:AB54" si="233">AB32+1</f>
        <v>1989</v>
      </c>
      <c r="AC33" s="225">
        <v>7893246</v>
      </c>
      <c r="AD33" s="603">
        <v>701977</v>
      </c>
      <c r="AE33"/>
      <c r="AF33" s="59">
        <f>AF32+AD33</f>
        <v>1339779</v>
      </c>
      <c r="AG33" s="125" t="s">
        <v>497</v>
      </c>
      <c r="AH33" s="59"/>
      <c r="AI33" s="59"/>
      <c r="AJ33" s="59">
        <v>-230464.82</v>
      </c>
      <c r="AK33" s="59">
        <v>121686.44</v>
      </c>
      <c r="AL33" s="26">
        <v>-67735</v>
      </c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/>
      <c r="BA33" s="59"/>
      <c r="BC33"/>
      <c r="BD33"/>
      <c r="BE33"/>
      <c r="BF33" s="59"/>
      <c r="BG33" s="4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>
        <v>350656</v>
      </c>
      <c r="BZ33" s="6">
        <v>90307</v>
      </c>
      <c r="CA33" s="6"/>
      <c r="CB33" s="6">
        <v>-57392</v>
      </c>
      <c r="CC33" s="6"/>
      <c r="CD33" s="6"/>
      <c r="CE33" s="6"/>
      <c r="DI33" s="6"/>
      <c r="DU33" s="55"/>
      <c r="FP33" s="640"/>
      <c r="FQ33" s="640"/>
      <c r="FR33" s="640"/>
      <c r="FS33" s="640"/>
      <c r="FT33" s="640"/>
      <c r="FU33" s="640"/>
      <c r="FV33" s="640"/>
      <c r="FW33" s="640"/>
      <c r="FX33" s="640"/>
      <c r="FY33" s="640"/>
      <c r="FZ33" s="640"/>
      <c r="GA33" s="640"/>
      <c r="GB33" s="640"/>
      <c r="GC33" s="640"/>
      <c r="GD33" s="640"/>
      <c r="GE33" s="640"/>
      <c r="GF33" s="640"/>
      <c r="GG33" s="640"/>
      <c r="GH33" s="640"/>
      <c r="GI33" s="640"/>
      <c r="GJ33" s="640"/>
      <c r="GK33" s="640"/>
      <c r="GL33" s="24">
        <f>A98</f>
        <v>33572</v>
      </c>
      <c r="GM33" s="97">
        <f>SUM(B96:B98)</f>
        <v>3978440.5155999996</v>
      </c>
      <c r="GN33" s="97">
        <f>SUM(C96:C98)</f>
        <v>6595.9099999999453</v>
      </c>
      <c r="GO33" s="5">
        <f t="shared" si="224"/>
        <v>249967.87150000007</v>
      </c>
      <c r="GP33" s="25" t="e">
        <f t="shared" si="155"/>
        <v>#DIV/0!</v>
      </c>
      <c r="GQ33" s="25" t="e">
        <f t="shared" si="156"/>
        <v>#DIV/0!</v>
      </c>
      <c r="GR33" s="48">
        <f t="shared" si="174"/>
        <v>-137274.79675000004</v>
      </c>
      <c r="GS33" s="48" t="e">
        <f>GR29</f>
        <v>#DIV/0!</v>
      </c>
      <c r="GT33" s="48">
        <f t="shared" si="184"/>
        <v>-549099.18700000015</v>
      </c>
      <c r="GU33" s="48" t="e">
        <f>GT29</f>
        <v>#DIV/0!</v>
      </c>
      <c r="GV33" s="75">
        <f t="shared" si="175"/>
        <v>-549099.18700000015</v>
      </c>
      <c r="GW33" s="75" t="e">
        <f>GV29</f>
        <v>#DIV/0!</v>
      </c>
      <c r="GX33" s="48" t="e">
        <f t="shared" si="229"/>
        <v>#DIV/0!</v>
      </c>
      <c r="GY33" s="48" t="e">
        <f t="shared" si="221"/>
        <v>#DIV/0!</v>
      </c>
      <c r="GZ33" s="75">
        <f t="shared" si="185"/>
        <v>16500858.021600001</v>
      </c>
      <c r="HA33" s="157">
        <f t="shared" si="222"/>
        <v>-3.3277008158073766E-2</v>
      </c>
      <c r="HB33" s="4"/>
      <c r="HC33" s="292">
        <f t="shared" si="223"/>
        <v>11.199253593546885</v>
      </c>
      <c r="HE33" s="53"/>
      <c r="HF33" s="53"/>
      <c r="HG33" s="53"/>
      <c r="HH33" s="24">
        <v>34515</v>
      </c>
      <c r="HI33" s="48">
        <v>998754</v>
      </c>
      <c r="HJ33" s="95"/>
      <c r="HK33" s="53"/>
    </row>
    <row r="34" spans="1:219">
      <c r="A34" s="24">
        <v>31624</v>
      </c>
      <c r="B34" s="25">
        <f t="shared" si="225"/>
        <v>1074697</v>
      </c>
      <c r="C34" s="25">
        <f t="shared" si="226"/>
        <v>141798</v>
      </c>
      <c r="D34" s="25">
        <f t="shared" si="110"/>
        <v>399313</v>
      </c>
      <c r="E34" s="25">
        <f t="shared" si="132"/>
        <v>91841.083333333328</v>
      </c>
      <c r="F34" s="25"/>
      <c r="G34" s="25"/>
      <c r="H34" s="25">
        <f t="shared" si="133"/>
        <v>1102093</v>
      </c>
      <c r="I34" s="25"/>
      <c r="J34" s="25"/>
      <c r="K34" s="25"/>
      <c r="L34" s="25">
        <f t="shared" si="30"/>
        <v>19837</v>
      </c>
      <c r="M34" s="25"/>
      <c r="N34" s="25"/>
      <c r="O34" s="25"/>
      <c r="P34" s="25">
        <f t="shared" si="31"/>
        <v>347835.3593688212</v>
      </c>
      <c r="Q34" s="25">
        <f t="shared" si="32"/>
        <v>-222153.80880728277</v>
      </c>
      <c r="R34" s="25">
        <f t="shared" si="227"/>
        <v>1074697</v>
      </c>
      <c r="S34" s="25">
        <f t="shared" si="33"/>
        <v>107655</v>
      </c>
      <c r="T34" s="25">
        <f t="shared" si="34"/>
        <v>1418522.2143234741</v>
      </c>
      <c r="U34" s="25">
        <f t="shared" si="35"/>
        <v>776443.85114146117</v>
      </c>
      <c r="V34" s="25"/>
      <c r="W34" s="25">
        <f t="shared" si="147"/>
        <v>10332404</v>
      </c>
      <c r="X34" s="157">
        <f t="shared" si="228"/>
        <v>0.50748517954316041</v>
      </c>
      <c r="Y34" s="25">
        <f t="shared" si="148"/>
        <v>1790605.6132</v>
      </c>
      <c r="Z34" s="25"/>
      <c r="AB34" s="224">
        <f t="shared" si="233"/>
        <v>1990</v>
      </c>
      <c r="AC34" s="225">
        <v>10767442</v>
      </c>
      <c r="AD34" s="603">
        <v>707259</v>
      </c>
      <c r="AE34"/>
      <c r="AF34" s="59">
        <f t="shared" ref="AF34:AF47" si="234">AF33+AD34</f>
        <v>2047038</v>
      </c>
      <c r="AG34" s="125" t="s">
        <v>820</v>
      </c>
      <c r="AH34" s="59"/>
      <c r="AI34" s="59"/>
      <c r="AJ34" s="59">
        <v>-34345.17</v>
      </c>
      <c r="AK34" s="59">
        <v>129642.44</v>
      </c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/>
      <c r="BA34" s="59"/>
      <c r="BC34"/>
      <c r="BD34"/>
      <c r="BE34"/>
      <c r="BF34" s="59"/>
      <c r="BG34" s="48"/>
      <c r="BI3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DI34" s="6"/>
      <c r="DU34" s="55"/>
      <c r="FP34" s="640"/>
      <c r="FQ34" s="640"/>
      <c r="FR34" s="640"/>
      <c r="FS34" s="640"/>
      <c r="FT34" s="640"/>
      <c r="FU34" s="640"/>
      <c r="FV34" s="640"/>
      <c r="FW34" s="640"/>
      <c r="FX34" s="640"/>
      <c r="FY34" s="640"/>
      <c r="FZ34" s="640"/>
      <c r="GA34" s="640"/>
      <c r="GB34" s="640"/>
      <c r="GC34" s="640"/>
      <c r="GD34" s="640"/>
      <c r="GE34" s="640"/>
      <c r="GF34" s="640"/>
      <c r="GG34" s="640"/>
      <c r="GH34" s="640"/>
      <c r="GI34" s="640"/>
      <c r="GJ34" s="640"/>
      <c r="GK34" s="640"/>
      <c r="GL34" s="24">
        <f>A101</f>
        <v>33663</v>
      </c>
      <c r="GM34" s="97">
        <f>SUM(B99:B101)</f>
        <v>3450954.9552000002</v>
      </c>
      <c r="GN34" s="97">
        <f>SUM(C99:C101)</f>
        <v>-266201.402</v>
      </c>
      <c r="GO34" s="5">
        <f t="shared" si="224"/>
        <v>272797.31199999992</v>
      </c>
      <c r="GP34" s="25" t="e">
        <f t="shared" si="155"/>
        <v>#DIV/0!</v>
      </c>
      <c r="GQ34" s="25" t="e">
        <f t="shared" si="156"/>
        <v>#DIV/0!</v>
      </c>
      <c r="GR34" s="48">
        <f t="shared" si="174"/>
        <v>-110082.42000000001</v>
      </c>
      <c r="GS34" s="48">
        <f>GR30</f>
        <v>101882.32524999998</v>
      </c>
      <c r="GT34" s="48">
        <f t="shared" si="184"/>
        <v>-440329.68000000005</v>
      </c>
      <c r="GU34" s="48">
        <f>GT30</f>
        <v>407529.30099999992</v>
      </c>
      <c r="GV34" s="75">
        <f t="shared" si="175"/>
        <v>-440329.68000000005</v>
      </c>
      <c r="GW34" s="75">
        <f>GV30</f>
        <v>407529.30099999992</v>
      </c>
      <c r="GX34" s="48">
        <f t="shared" si="229"/>
        <v>-847858.98099999991</v>
      </c>
      <c r="GY34" s="48">
        <f t="shared" si="221"/>
        <v>-16400.189500000066</v>
      </c>
      <c r="GZ34" s="75">
        <f t="shared" si="185"/>
        <v>15887682.4484</v>
      </c>
      <c r="HA34" s="157">
        <f t="shared" si="222"/>
        <v>-2.7715161190444381E-2</v>
      </c>
      <c r="HB34" s="4"/>
      <c r="HC34" s="292">
        <f t="shared" si="223"/>
        <v>-0.16775986276989008</v>
      </c>
      <c r="HE34" s="53"/>
      <c r="HF34" s="53"/>
      <c r="HG34" s="53"/>
      <c r="HH34" s="24">
        <v>34546</v>
      </c>
      <c r="HI34" s="48">
        <v>926298</v>
      </c>
      <c r="HJ34" s="95"/>
      <c r="HK34" s="53"/>
    </row>
    <row r="35" spans="1:219">
      <c r="A35" s="24">
        <v>31655</v>
      </c>
      <c r="B35" s="25">
        <f t="shared" si="225"/>
        <v>1081792</v>
      </c>
      <c r="C35" s="25">
        <f t="shared" si="226"/>
        <v>231306</v>
      </c>
      <c r="D35" s="25">
        <f t="shared" si="110"/>
        <v>495065</v>
      </c>
      <c r="E35" s="25">
        <f t="shared" si="132"/>
        <v>96358.5</v>
      </c>
      <c r="F35" s="25"/>
      <c r="G35" s="25"/>
      <c r="H35" s="25">
        <f t="shared" si="133"/>
        <v>1156302</v>
      </c>
      <c r="I35" s="25"/>
      <c r="J35" s="25"/>
      <c r="K35" s="25"/>
      <c r="L35" s="25">
        <f t="shared" si="30"/>
        <v>89508</v>
      </c>
      <c r="M35" s="25"/>
      <c r="N35" s="25"/>
      <c r="O35" s="25"/>
      <c r="P35" s="25">
        <f t="shared" si="31"/>
        <v>347835.3593688212</v>
      </c>
      <c r="Q35" s="25">
        <f t="shared" si="32"/>
        <v>-222153.80880728277</v>
      </c>
      <c r="R35" s="25">
        <f t="shared" si="227"/>
        <v>1081792</v>
      </c>
      <c r="S35" s="25">
        <f t="shared" si="33"/>
        <v>7095</v>
      </c>
      <c r="T35" s="25">
        <f t="shared" si="34"/>
        <v>1418522.2143234741</v>
      </c>
      <c r="U35" s="25">
        <f t="shared" si="35"/>
        <v>776443.85114146117</v>
      </c>
      <c r="V35" s="25"/>
      <c r="W35" s="25">
        <f t="shared" si="147"/>
        <v>10546385</v>
      </c>
      <c r="X35" s="157">
        <f t="shared" si="228"/>
        <v>0.48256217404854845</v>
      </c>
      <c r="Y35" s="25">
        <f t="shared" si="148"/>
        <v>1827688.5205000001</v>
      </c>
      <c r="Z35" s="25"/>
      <c r="AB35" s="224">
        <f t="shared" si="233"/>
        <v>1991</v>
      </c>
      <c r="AC35" s="225">
        <v>14098241</v>
      </c>
      <c r="AD35" s="603">
        <v>1056133</v>
      </c>
      <c r="AE35"/>
      <c r="AF35" s="59">
        <f t="shared" si="234"/>
        <v>3103171</v>
      </c>
      <c r="AG35" s="125" t="s">
        <v>953</v>
      </c>
      <c r="AH35" s="59"/>
      <c r="AI35" s="59"/>
      <c r="AJ35" s="59">
        <v>287209.5</v>
      </c>
      <c r="AK35" s="59">
        <v>-36877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/>
      <c r="BA35" s="59"/>
      <c r="BC35"/>
      <c r="BD35"/>
      <c r="BE35"/>
      <c r="BF35" s="59"/>
      <c r="BG35" s="48"/>
      <c r="BI35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DI35" s="6"/>
      <c r="DU35" s="55"/>
      <c r="FP35" s="640"/>
      <c r="FQ35" s="640"/>
      <c r="FR35" s="640"/>
      <c r="FS35" s="640"/>
      <c r="FT35" s="640"/>
      <c r="FU35" s="640"/>
      <c r="FV35" s="640"/>
      <c r="FW35" s="640"/>
      <c r="FX35" s="640"/>
      <c r="FY35" s="640"/>
      <c r="FZ35" s="640"/>
      <c r="GA35" s="640"/>
      <c r="GB35" s="640"/>
      <c r="GC35" s="640"/>
      <c r="GD35" s="640"/>
      <c r="GE35" s="640"/>
      <c r="GF35" s="640"/>
      <c r="GG35" s="640"/>
      <c r="GH35" s="640"/>
      <c r="GI35" s="640"/>
      <c r="GJ35" s="640"/>
      <c r="GK35" s="640"/>
      <c r="GL35" s="24">
        <f>A104</f>
        <v>33755</v>
      </c>
      <c r="GM35" s="97">
        <f>SUM(B102:B104)</f>
        <v>4197026.6255999999</v>
      </c>
      <c r="GN35" s="97">
        <f>SUM(C102:C104)</f>
        <v>120127.23499999997</v>
      </c>
      <c r="GO35" s="5">
        <f t="shared" si="224"/>
        <v>386328.63699999999</v>
      </c>
      <c r="GP35" s="25" t="e">
        <f t="shared" si="155"/>
        <v>#DIV/0!</v>
      </c>
      <c r="GQ35" s="25" t="e">
        <f t="shared" si="156"/>
        <v>#DIV/0!</v>
      </c>
      <c r="GR35" s="48">
        <f t="shared" si="174"/>
        <v>29271.381124999982</v>
      </c>
      <c r="GS35" s="48">
        <f>GR31</f>
        <v>-40150.469625000012</v>
      </c>
      <c r="GT35" s="48">
        <f t="shared" si="184"/>
        <v>117085.52449999993</v>
      </c>
      <c r="GU35" s="48">
        <f>GT31</f>
        <v>-160601.87850000005</v>
      </c>
      <c r="GV35" s="75">
        <f t="shared" si="175"/>
        <v>117085.52449999993</v>
      </c>
      <c r="GW35" s="75">
        <f>GV31</f>
        <v>-160601.87850000005</v>
      </c>
      <c r="GX35" s="48">
        <f t="shared" si="229"/>
        <v>277687.40299999999</v>
      </c>
      <c r="GY35" s="48">
        <f t="shared" si="221"/>
        <v>-21758.177000000062</v>
      </c>
      <c r="GZ35" s="75">
        <f t="shared" si="185"/>
        <v>15887853.472800002</v>
      </c>
      <c r="HA35" s="157">
        <f t="shared" si="222"/>
        <v>7.3694992656151001E-3</v>
      </c>
      <c r="HB35" s="4"/>
      <c r="HC35" s="292">
        <f t="shared" si="223"/>
        <v>-0.14681666936067325</v>
      </c>
      <c r="HE35" s="53"/>
      <c r="HF35" s="53"/>
      <c r="HG35" s="53"/>
      <c r="HH35" s="24">
        <v>34577</v>
      </c>
      <c r="HI35" s="48">
        <v>828776</v>
      </c>
      <c r="HJ35" s="95"/>
      <c r="HK35" s="53"/>
    </row>
    <row r="36" spans="1:219">
      <c r="A36" s="24">
        <v>31685</v>
      </c>
      <c r="B36" s="25">
        <f t="shared" si="225"/>
        <v>950022</v>
      </c>
      <c r="C36" s="25">
        <f t="shared" si="226"/>
        <v>-37216</v>
      </c>
      <c r="D36" s="25">
        <f t="shared" si="110"/>
        <v>335888</v>
      </c>
      <c r="E36" s="25">
        <f t="shared" si="132"/>
        <v>82862.75</v>
      </c>
      <c r="F36" s="25"/>
      <c r="G36" s="25"/>
      <c r="H36" s="25">
        <f t="shared" si="133"/>
        <v>994353</v>
      </c>
      <c r="I36" s="25"/>
      <c r="J36" s="25"/>
      <c r="K36" s="25"/>
      <c r="L36" s="25">
        <f t="shared" ref="L36:L67" si="235">((C35-C36)^2)^0.5</f>
        <v>268522</v>
      </c>
      <c r="M36" s="25"/>
      <c r="N36" s="25"/>
      <c r="O36" s="25"/>
      <c r="P36" s="25">
        <f t="shared" ref="P36:P67" si="236">$C$317+1.88*$L$317</f>
        <v>347835.3593688212</v>
      </c>
      <c r="Q36" s="25">
        <f t="shared" ref="Q36:Q67" si="237">$C$317-1.88*$L$317</f>
        <v>-222153.80880728277</v>
      </c>
      <c r="R36" s="25">
        <f t="shared" si="227"/>
        <v>950022</v>
      </c>
      <c r="S36" s="25">
        <f t="shared" ref="S36:S73" si="238">IF(R36&gt;0,ABS(R35-R36)," ")</f>
        <v>131770</v>
      </c>
      <c r="T36" s="25">
        <f t="shared" ref="T36:T67" si="239">$R$317+1.88*$S$317</f>
        <v>1418522.2143234741</v>
      </c>
      <c r="U36" s="25">
        <f t="shared" ref="U36:U67" si="240">$R$317-1.88*$S$317</f>
        <v>776443.85114146117</v>
      </c>
      <c r="V36" s="25"/>
      <c r="W36" s="25">
        <f t="shared" si="147"/>
        <v>10680538</v>
      </c>
      <c r="X36" s="157">
        <f t="shared" si="228"/>
        <v>0.46333902742662308</v>
      </c>
      <c r="Y36" s="25">
        <f t="shared" si="148"/>
        <v>1850937.2354000001</v>
      </c>
      <c r="Z36" s="25"/>
      <c r="AB36" s="224">
        <f t="shared" si="233"/>
        <v>1992</v>
      </c>
      <c r="AC36" s="225">
        <v>16027667</v>
      </c>
      <c r="AD36" s="603">
        <v>22000</v>
      </c>
      <c r="AE36" s="59">
        <f>SUM(AD32:AD36)</f>
        <v>3125171</v>
      </c>
      <c r="AF36" s="59">
        <f t="shared" si="234"/>
        <v>3125171</v>
      </c>
      <c r="AG36" s="125" t="s">
        <v>970</v>
      </c>
      <c r="AH36" s="59"/>
      <c r="AI36" s="59"/>
      <c r="AJ36" s="59">
        <v>320102.25</v>
      </c>
      <c r="AK36" s="59">
        <v>-213775.5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/>
      <c r="BA36" s="59"/>
      <c r="BC36"/>
      <c r="BD36"/>
      <c r="BE36"/>
      <c r="BF36" s="59"/>
      <c r="BG36" s="48"/>
      <c r="BI36"/>
      <c r="BJ3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>
        <v>1444774</v>
      </c>
      <c r="BZ36" s="6">
        <v>1672737</v>
      </c>
      <c r="CA36" s="6"/>
      <c r="CB36" s="6">
        <v>1683301</v>
      </c>
      <c r="CC36" s="6"/>
      <c r="CD36" s="71">
        <v>2153669</v>
      </c>
      <c r="CE36" s="71">
        <v>2494703</v>
      </c>
      <c r="DI36" s="6"/>
      <c r="DU36" s="55"/>
      <c r="FP36" s="640"/>
      <c r="FQ36" s="640"/>
      <c r="FR36" s="640"/>
      <c r="FS36" s="640"/>
      <c r="FT36" s="640"/>
      <c r="FU36" s="640"/>
      <c r="FV36" s="640"/>
      <c r="FW36" s="640"/>
      <c r="FX36" s="640"/>
      <c r="FY36" s="640"/>
      <c r="FZ36" s="640"/>
      <c r="GA36" s="640"/>
      <c r="GB36" s="640"/>
      <c r="GC36" s="640"/>
      <c r="GD36" s="640"/>
      <c r="GE36" s="640"/>
      <c r="GF36" s="640"/>
      <c r="GG36" s="640"/>
      <c r="GH36" s="640"/>
      <c r="GI36" s="640"/>
      <c r="GJ36" s="640"/>
      <c r="GK36" s="640"/>
      <c r="GL36" s="24">
        <f>A107</f>
        <v>33847</v>
      </c>
      <c r="GM36" s="97">
        <f>SUM(B105:B107)</f>
        <v>3744623.0528000002</v>
      </c>
      <c r="GN36" s="97">
        <f>SUM(C105:C107)</f>
        <v>-220760.65999999997</v>
      </c>
      <c r="GO36" s="5">
        <f t="shared" si="224"/>
        <v>340887.89499999996</v>
      </c>
      <c r="GP36" s="25" t="e">
        <f t="shared" si="155"/>
        <v>#DIV/0!</v>
      </c>
      <c r="GQ36" s="25" t="e">
        <f t="shared" si="156"/>
        <v>#DIV/0!</v>
      </c>
      <c r="GR36" s="48">
        <f t="shared" si="174"/>
        <v>-90059.729250000019</v>
      </c>
      <c r="GS36" s="48">
        <f t="shared" si="230"/>
        <v>-36169.024250000009</v>
      </c>
      <c r="GT36" s="48">
        <f t="shared" si="184"/>
        <v>-360238.91700000007</v>
      </c>
      <c r="GU36" s="48">
        <f t="shared" si="231"/>
        <v>-144676.09700000004</v>
      </c>
      <c r="GV36" s="75">
        <f t="shared" si="175"/>
        <v>-360238.91700000007</v>
      </c>
      <c r="GW36" s="75">
        <f t="shared" si="232"/>
        <v>-144676.09700000004</v>
      </c>
      <c r="GX36" s="48">
        <f t="shared" si="229"/>
        <v>-215562.82000000004</v>
      </c>
      <c r="GY36" s="48">
        <f t="shared" si="221"/>
        <v>-252457.50700000004</v>
      </c>
      <c r="GZ36" s="75">
        <f t="shared" si="185"/>
        <v>15371045.1492</v>
      </c>
      <c r="HA36" s="157">
        <f t="shared" si="222"/>
        <v>-2.3436201865476208E-2</v>
      </c>
      <c r="HB36" s="4"/>
      <c r="HC36" s="292">
        <f t="shared" ref="HC36:HC53" si="241">(GZ36-GZ32)/GZ32</f>
        <v>-0.14467428626027445</v>
      </c>
      <c r="HE36" s="53"/>
      <c r="HF36" s="53"/>
      <c r="HG36" s="53"/>
      <c r="HH36" s="24">
        <f t="shared" ref="HH36:HJ37" si="242">A132</f>
        <v>34607</v>
      </c>
      <c r="HI36" s="95">
        <f t="shared" si="242"/>
        <v>1042891</v>
      </c>
      <c r="HJ36" s="95">
        <f t="shared" si="242"/>
        <v>109414</v>
      </c>
      <c r="HK36" s="53"/>
    </row>
    <row r="37" spans="1:219">
      <c r="A37" s="24">
        <v>31716</v>
      </c>
      <c r="B37" s="25">
        <f t="shared" si="225"/>
        <v>792560</v>
      </c>
      <c r="C37" s="25">
        <f t="shared" si="226"/>
        <v>-112887</v>
      </c>
      <c r="D37" s="25">
        <f t="shared" ref="D37:D68" si="243">C37+C36+C35</f>
        <v>81203</v>
      </c>
      <c r="E37" s="25">
        <f t="shared" si="132"/>
        <v>65280.916666666664</v>
      </c>
      <c r="F37" s="25"/>
      <c r="G37" s="25"/>
      <c r="H37" s="25">
        <f t="shared" si="133"/>
        <v>783371</v>
      </c>
      <c r="I37" s="25"/>
      <c r="J37" s="25"/>
      <c r="K37" s="25"/>
      <c r="L37" s="25">
        <f t="shared" si="235"/>
        <v>75671</v>
      </c>
      <c r="M37" s="25"/>
      <c r="N37" s="25"/>
      <c r="O37" s="25"/>
      <c r="P37" s="25">
        <f t="shared" si="236"/>
        <v>347835.3593688212</v>
      </c>
      <c r="Q37" s="25">
        <f t="shared" si="237"/>
        <v>-222153.80880728277</v>
      </c>
      <c r="R37" s="25">
        <f t="shared" si="227"/>
        <v>792560</v>
      </c>
      <c r="S37" s="25">
        <f t="shared" si="238"/>
        <v>157462</v>
      </c>
      <c r="T37" s="25">
        <f t="shared" si="239"/>
        <v>1418522.2143234741</v>
      </c>
      <c r="U37" s="25">
        <f t="shared" si="240"/>
        <v>776443.85114146117</v>
      </c>
      <c r="V37" s="25"/>
      <c r="W37" s="25">
        <f t="shared" si="147"/>
        <v>10619351</v>
      </c>
      <c r="X37" s="157">
        <f t="shared" si="228"/>
        <v>0.37787015567687254</v>
      </c>
      <c r="Y37" s="25">
        <f t="shared" si="148"/>
        <v>1840333.5283000001</v>
      </c>
      <c r="Z37" s="25"/>
      <c r="AA37" s="51"/>
      <c r="AB37" s="224">
        <f t="shared" si="233"/>
        <v>1993</v>
      </c>
      <c r="AC37" s="225">
        <v>15711770.550000003</v>
      </c>
      <c r="AD37" s="603">
        <v>596859.14</v>
      </c>
      <c r="AE37" s="59">
        <f t="shared" ref="AE37:AE47" si="244">SUM(AD33:AD37)</f>
        <v>3084228.14</v>
      </c>
      <c r="AF37" s="59">
        <f t="shared" si="234"/>
        <v>3722030.14</v>
      </c>
      <c r="AG37" s="125" t="s">
        <v>972</v>
      </c>
      <c r="AH37" s="59"/>
      <c r="AI37" s="59"/>
      <c r="AJ37" s="59">
        <v>389872</v>
      </c>
      <c r="AK37" s="59">
        <v>192329.95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/>
      <c r="BA37" s="59"/>
      <c r="BB37" s="51"/>
      <c r="BC37"/>
      <c r="BD37"/>
      <c r="BE37"/>
      <c r="BF37" s="59"/>
      <c r="BG37" s="48"/>
      <c r="BI37"/>
      <c r="BJ37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>
        <v>82653</v>
      </c>
      <c r="BZ37" s="6">
        <v>160431</v>
      </c>
      <c r="CA37" s="6"/>
      <c r="CB37" s="6">
        <v>154277</v>
      </c>
      <c r="CC37" s="6"/>
      <c r="CD37" s="73">
        <v>576385</v>
      </c>
      <c r="CE37" s="73">
        <v>633256</v>
      </c>
      <c r="DI37" s="6"/>
      <c r="DU37" s="55"/>
      <c r="FP37" s="640"/>
      <c r="FQ37" s="640"/>
      <c r="FR37" s="640"/>
      <c r="FS37" s="640"/>
      <c r="FT37" s="640"/>
      <c r="FU37" s="640"/>
      <c r="FV37" s="640"/>
      <c r="FW37" s="640"/>
      <c r="FX37" s="640"/>
      <c r="FY37" s="640"/>
      <c r="FZ37" s="640"/>
      <c r="GA37" s="640"/>
      <c r="GB37" s="640"/>
      <c r="GC37" s="640"/>
      <c r="GD37" s="640"/>
      <c r="GE37" s="640"/>
      <c r="GF37" s="640"/>
      <c r="GG37" s="640"/>
      <c r="GH37" s="640"/>
      <c r="GI37" s="640"/>
      <c r="GJ37" s="640"/>
      <c r="GK37" s="640"/>
      <c r="GL37" s="24">
        <f>A110</f>
        <v>33938</v>
      </c>
      <c r="GM37" s="97">
        <f>SUM(B108:B110)</f>
        <v>3556259.6576</v>
      </c>
      <c r="GN37" s="97">
        <f>SUM(C108:C110)</f>
        <v>46971.304000000004</v>
      </c>
      <c r="GO37" s="5">
        <f t="shared" si="224"/>
        <v>267731.96399999998</v>
      </c>
      <c r="GP37" s="25" t="e">
        <f t="shared" si="155"/>
        <v>#DIV/0!</v>
      </c>
      <c r="GQ37" s="25" t="e">
        <f t="shared" si="156"/>
        <v>#DIV/0!</v>
      </c>
      <c r="GR37" s="565">
        <f t="shared" si="174"/>
        <v>-79965.880749999997</v>
      </c>
      <c r="GS37" s="48">
        <f t="shared" si="230"/>
        <v>-137274.79675000004</v>
      </c>
      <c r="GT37" s="48">
        <f t="shared" si="184"/>
        <v>-319863.52299999999</v>
      </c>
      <c r="GU37" s="48">
        <f t="shared" si="231"/>
        <v>-549099.18700000015</v>
      </c>
      <c r="GV37" s="75">
        <f t="shared" si="175"/>
        <v>-319863.52299999999</v>
      </c>
      <c r="GW37" s="75">
        <f t="shared" si="232"/>
        <v>-549099.18700000015</v>
      </c>
      <c r="GX37" s="48">
        <f t="shared" si="229"/>
        <v>229235.66400000016</v>
      </c>
      <c r="GY37" s="48">
        <f t="shared" si="221"/>
        <v>-434481.3550000001</v>
      </c>
      <c r="GZ37" s="75">
        <f t="shared" si="185"/>
        <v>14948864.291200001</v>
      </c>
      <c r="HA37" s="157">
        <f t="shared" si="222"/>
        <v>-2.1397178860490102E-2</v>
      </c>
      <c r="HB37" s="4"/>
      <c r="HC37" s="292">
        <f t="shared" si="241"/>
        <v>-9.4055335084297101E-2</v>
      </c>
      <c r="HE37" s="53"/>
      <c r="HF37" s="53"/>
      <c r="HG37" s="53"/>
      <c r="HH37" s="24">
        <f t="shared" si="242"/>
        <v>34638</v>
      </c>
      <c r="HI37" s="95">
        <f t="shared" si="242"/>
        <v>1013647</v>
      </c>
      <c r="HJ37" s="95">
        <f t="shared" si="242"/>
        <v>147427</v>
      </c>
      <c r="HK37" s="53"/>
    </row>
    <row r="38" spans="1:219">
      <c r="A38" s="24">
        <v>31746</v>
      </c>
      <c r="B38" s="25">
        <f t="shared" si="225"/>
        <v>912067</v>
      </c>
      <c r="C38" s="25">
        <f t="shared" si="226"/>
        <v>-43418</v>
      </c>
      <c r="D38" s="25">
        <f t="shared" si="243"/>
        <v>-193521</v>
      </c>
      <c r="E38" s="25">
        <f t="shared" si="132"/>
        <v>58938.25</v>
      </c>
      <c r="F38" s="25"/>
      <c r="G38" s="25"/>
      <c r="H38" s="25">
        <f t="shared" si="133"/>
        <v>707259</v>
      </c>
      <c r="I38" s="25">
        <f>H26</f>
        <v>701977</v>
      </c>
      <c r="J38" s="25">
        <f>H38-I38</f>
        <v>5282</v>
      </c>
      <c r="K38" s="25"/>
      <c r="L38" s="25">
        <f t="shared" si="235"/>
        <v>69469</v>
      </c>
      <c r="M38" s="25"/>
      <c r="N38" s="25"/>
      <c r="O38" s="25"/>
      <c r="P38" s="25">
        <f t="shared" si="236"/>
        <v>347835.3593688212</v>
      </c>
      <c r="Q38" s="25">
        <f t="shared" si="237"/>
        <v>-222153.80880728277</v>
      </c>
      <c r="R38" s="25">
        <f t="shared" si="227"/>
        <v>912067</v>
      </c>
      <c r="S38" s="25">
        <f t="shared" si="238"/>
        <v>119507</v>
      </c>
      <c r="T38" s="25">
        <f t="shared" si="239"/>
        <v>1418522.2143234741</v>
      </c>
      <c r="U38" s="25">
        <f t="shared" si="240"/>
        <v>776443.85114146117</v>
      </c>
      <c r="V38" s="25"/>
      <c r="W38" s="25">
        <f t="shared" si="147"/>
        <v>10767442</v>
      </c>
      <c r="X38" s="157">
        <f t="shared" si="228"/>
        <v>0.364133638044148</v>
      </c>
      <c r="Y38" s="25">
        <f t="shared" si="148"/>
        <v>1865997.6986</v>
      </c>
      <c r="Z38" s="25"/>
      <c r="AA38" s="51"/>
      <c r="AB38" s="224">
        <f t="shared" si="233"/>
        <v>1994</v>
      </c>
      <c r="AC38" s="225">
        <v>18557425.75</v>
      </c>
      <c r="AD38" s="603">
        <v>451942.88</v>
      </c>
      <c r="AE38" s="59">
        <f t="shared" si="244"/>
        <v>2834194.02</v>
      </c>
      <c r="AF38" s="59">
        <f t="shared" si="234"/>
        <v>4173973.02</v>
      </c>
      <c r="AG38" s="125" t="s">
        <v>740</v>
      </c>
      <c r="AH38" s="59"/>
      <c r="AI38" s="59"/>
      <c r="AJ38" s="59">
        <v>64221.43</v>
      </c>
      <c r="AK38" s="59">
        <v>190884.13</v>
      </c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/>
      <c r="BA38" s="59"/>
      <c r="BB38" s="51"/>
      <c r="BC38"/>
      <c r="BD38"/>
      <c r="BE38"/>
      <c r="BF38" s="59"/>
      <c r="BG38" s="48"/>
      <c r="BH38" s="50"/>
      <c r="BI38" s="59"/>
      <c r="BJ38"/>
      <c r="BM38" s="71" t="s">
        <v>640</v>
      </c>
      <c r="BN38" s="71" t="s">
        <v>640</v>
      </c>
      <c r="BO38" s="71" t="s">
        <v>640</v>
      </c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26"/>
      <c r="CE38" s="26"/>
      <c r="CO38" s="79"/>
      <c r="DI38" s="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FP38" s="640"/>
      <c r="FQ38" s="640"/>
      <c r="FR38" s="640"/>
      <c r="FS38" s="640"/>
      <c r="FT38" s="640"/>
      <c r="FU38" s="640"/>
      <c r="FV38" s="640"/>
      <c r="FW38" s="640"/>
      <c r="FX38" s="640"/>
      <c r="FY38" s="640"/>
      <c r="FZ38" s="640"/>
      <c r="GA38" s="640"/>
      <c r="GB38" s="640"/>
      <c r="GC38" s="640"/>
      <c r="GD38" s="640"/>
      <c r="GE38" s="640"/>
      <c r="GF38" s="640"/>
      <c r="GG38" s="640"/>
      <c r="GH38" s="640"/>
      <c r="GI38" s="640"/>
      <c r="GJ38" s="640"/>
      <c r="GK38" s="640"/>
      <c r="GL38" s="24">
        <f>A113</f>
        <v>34028</v>
      </c>
      <c r="GM38" s="97">
        <f>SUM(B111:B113)</f>
        <v>3148665.4879999999</v>
      </c>
      <c r="GN38" s="97">
        <f>SUM(C111:C113)</f>
        <v>84273.148000000001</v>
      </c>
      <c r="GO38" s="5">
        <f t="shared" si="224"/>
        <v>37301.843999999997</v>
      </c>
      <c r="GP38" s="25" t="e">
        <f t="shared" si="155"/>
        <v>#DIV/0!</v>
      </c>
      <c r="GQ38" s="25" t="e">
        <f t="shared" si="156"/>
        <v>#DIV/0!</v>
      </c>
      <c r="GR38" s="48">
        <f t="shared" si="174"/>
        <v>7652.7567500000005</v>
      </c>
      <c r="GS38" s="48">
        <f t="shared" si="230"/>
        <v>-110082.42000000001</v>
      </c>
      <c r="GT38" s="48">
        <f t="shared" si="184"/>
        <v>30611.027000000002</v>
      </c>
      <c r="GU38" s="48">
        <f t="shared" si="231"/>
        <v>-440329.68000000005</v>
      </c>
      <c r="GV38" s="75">
        <f t="shared" si="175"/>
        <v>30611.027000000002</v>
      </c>
      <c r="GW38" s="75">
        <f t="shared" si="232"/>
        <v>-440329.68000000005</v>
      </c>
      <c r="GX38" s="48">
        <f t="shared" si="229"/>
        <v>470940.70700000005</v>
      </c>
      <c r="GY38" s="48">
        <f t="shared" si="221"/>
        <v>-204859.32650000002</v>
      </c>
      <c r="GZ38" s="75">
        <f t="shared" si="185"/>
        <v>14646574.824000001</v>
      </c>
      <c r="HA38" s="157">
        <f t="shared" si="222"/>
        <v>2.089978535448473E-3</v>
      </c>
      <c r="HB38" s="4"/>
      <c r="HC38" s="292">
        <f>(GZ38-GZ34)/GZ34</f>
        <v>-7.811760012392413E-2</v>
      </c>
      <c r="HE38" s="53"/>
      <c r="HF38" s="53"/>
      <c r="HG38" s="53"/>
      <c r="HH38" s="24">
        <f t="shared" ref="HH38:HH58" si="245">A134</f>
        <v>34668</v>
      </c>
      <c r="HI38" s="95">
        <f t="shared" ref="HI38:HI58" si="246">B134</f>
        <v>1012613</v>
      </c>
      <c r="HJ38" s="95">
        <f t="shared" ref="HJ38:HJ59" si="247">C134</f>
        <v>8520</v>
      </c>
      <c r="HK38" s="53"/>
    </row>
    <row r="39" spans="1:219">
      <c r="A39" s="24">
        <v>31777</v>
      </c>
      <c r="B39" s="25">
        <f t="shared" ref="B39:B50" si="248">BL3</f>
        <v>720116</v>
      </c>
      <c r="C39" s="25">
        <f t="shared" ref="C39:C50" si="249">AE3</f>
        <v>-275901</v>
      </c>
      <c r="D39" s="25">
        <f t="shared" si="243"/>
        <v>-432206</v>
      </c>
      <c r="E39" s="25">
        <f t="shared" si="132"/>
        <v>27858</v>
      </c>
      <c r="F39" s="25"/>
      <c r="G39" s="25"/>
      <c r="H39" s="25">
        <f t="shared" si="133"/>
        <v>334296</v>
      </c>
      <c r="I39" s="25">
        <f t="shared" ref="I39:I102" si="250">H27</f>
        <v>775645</v>
      </c>
      <c r="J39" s="25">
        <f t="shared" ref="J39:J102" si="251">H39-I39</f>
        <v>-441349</v>
      </c>
      <c r="K39" s="25"/>
      <c r="L39" s="25">
        <f t="shared" si="235"/>
        <v>232483</v>
      </c>
      <c r="M39" s="25"/>
      <c r="N39" s="25"/>
      <c r="O39" s="25"/>
      <c r="P39" s="25">
        <f t="shared" si="236"/>
        <v>347835.3593688212</v>
      </c>
      <c r="Q39" s="25">
        <f t="shared" si="237"/>
        <v>-222153.80880728277</v>
      </c>
      <c r="R39" s="25">
        <f t="shared" ref="R39:R46" si="252">BL3</f>
        <v>720116</v>
      </c>
      <c r="S39" s="25">
        <f t="shared" si="238"/>
        <v>191951</v>
      </c>
      <c r="T39" s="25">
        <f t="shared" si="239"/>
        <v>1418522.2143234741</v>
      </c>
      <c r="U39" s="25">
        <f t="shared" si="240"/>
        <v>776443.85114146117</v>
      </c>
      <c r="V39" s="25"/>
      <c r="W39" s="25">
        <f t="shared" si="147"/>
        <v>10746151</v>
      </c>
      <c r="X39" s="157">
        <f t="shared" si="228"/>
        <v>0.30966264982794528</v>
      </c>
      <c r="Y39" s="25">
        <f t="shared" si="148"/>
        <v>1862307.9683000001</v>
      </c>
      <c r="Z39" s="25"/>
      <c r="AA39" s="51"/>
      <c r="AB39" s="224">
        <f t="shared" si="233"/>
        <v>1995</v>
      </c>
      <c r="AC39" s="225">
        <v>16500858.021599999</v>
      </c>
      <c r="AD39" s="603">
        <v>-549099.18700000015</v>
      </c>
      <c r="AE39" s="59">
        <f t="shared" si="244"/>
        <v>1577835.8329999999</v>
      </c>
      <c r="AF39" s="59">
        <f t="shared" si="234"/>
        <v>3624873.8329999996</v>
      </c>
      <c r="AG39" s="125" t="s">
        <v>668</v>
      </c>
      <c r="AH39" s="59"/>
      <c r="AI39" s="59"/>
      <c r="AJ39" s="59">
        <v>-3277.4899999999907</v>
      </c>
      <c r="AK39" s="59">
        <v>174825.12</v>
      </c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/>
      <c r="BA39" s="59"/>
      <c r="BB39" s="51"/>
      <c r="BC39" s="53"/>
      <c r="BD39" s="53"/>
      <c r="BE39" s="53"/>
      <c r="BF39" s="53"/>
      <c r="BG39" s="53"/>
      <c r="BH39" s="50"/>
      <c r="BI39" s="59"/>
      <c r="BJ39"/>
      <c r="BL39" s="52" t="s">
        <v>817</v>
      </c>
      <c r="BM39" s="60" t="s">
        <v>818</v>
      </c>
      <c r="BN39" s="60" t="s">
        <v>1127</v>
      </c>
      <c r="BO39" s="60" t="s">
        <v>861</v>
      </c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25"/>
      <c r="CE39" s="25"/>
      <c r="CO39" s="79"/>
      <c r="DI39" s="6"/>
      <c r="DJ39" s="56"/>
      <c r="DK39" s="56"/>
      <c r="DL39" s="56"/>
      <c r="DM39" s="56"/>
      <c r="DN39" s="56"/>
      <c r="DO39" s="56"/>
      <c r="DP39" s="56"/>
      <c r="DQ39" s="56"/>
      <c r="DR39" s="56"/>
      <c r="DS39" s="56"/>
      <c r="DT39" s="56"/>
      <c r="DU39" s="56"/>
      <c r="FI39" s="80" t="s">
        <v>388</v>
      </c>
      <c r="FP39" s="640"/>
      <c r="FQ39" s="640"/>
      <c r="FR39" s="640"/>
      <c r="FS39" s="640"/>
      <c r="FT39" s="640"/>
      <c r="FU39" s="640"/>
      <c r="FV39" s="640"/>
      <c r="FW39" s="640"/>
      <c r="FX39" s="640"/>
      <c r="FY39" s="640"/>
      <c r="FZ39" s="640"/>
      <c r="GA39" s="640"/>
      <c r="GB39" s="640"/>
      <c r="GC39" s="640"/>
      <c r="GD39" s="640"/>
      <c r="GE39" s="640"/>
      <c r="GF39" s="640"/>
      <c r="GG39" s="640"/>
      <c r="GH39" s="640"/>
      <c r="GI39" s="640"/>
      <c r="GJ39" s="640"/>
      <c r="GK39" s="640"/>
      <c r="GL39" s="24">
        <f>A116</f>
        <v>34120</v>
      </c>
      <c r="GM39" s="97">
        <f>SUM(B114:B116)</f>
        <v>2888091.0759999999</v>
      </c>
      <c r="GN39" s="97">
        <f>SUM(C114:C116)</f>
        <v>-329441.13500000001</v>
      </c>
      <c r="GO39" s="5">
        <f t="shared" si="224"/>
        <v>413714.283</v>
      </c>
      <c r="GP39" s="25" t="e">
        <f t="shared" si="155"/>
        <v>#DIV/0!</v>
      </c>
      <c r="GQ39" s="25" t="e">
        <f t="shared" si="156"/>
        <v>#DIV/0!</v>
      </c>
      <c r="GR39" s="48">
        <f t="shared" si="174"/>
        <v>-104739.33575</v>
      </c>
      <c r="GS39" s="48">
        <f t="shared" si="230"/>
        <v>29271.381124999982</v>
      </c>
      <c r="GT39" s="48">
        <f t="shared" si="184"/>
        <v>-418957.34299999999</v>
      </c>
      <c r="GU39" s="48">
        <f t="shared" si="231"/>
        <v>117085.52449999993</v>
      </c>
      <c r="GV39" s="75">
        <f t="shared" si="175"/>
        <v>-418957.34299999999</v>
      </c>
      <c r="GW39" s="75">
        <f t="shared" si="232"/>
        <v>117085.52449999993</v>
      </c>
      <c r="GX39" s="48">
        <f t="shared" si="229"/>
        <v>-536042.86749999993</v>
      </c>
      <c r="GY39" s="48">
        <f t="shared" si="221"/>
        <v>-150935.90925000003</v>
      </c>
      <c r="GZ39" s="75">
        <f t="shared" si="185"/>
        <v>13337639.2744</v>
      </c>
      <c r="HA39" s="157">
        <f t="shared" si="222"/>
        <v>-3.1411656469382737E-2</v>
      </c>
      <c r="HB39" s="4"/>
      <c r="HC39" s="292">
        <f>(GZ39-GZ35)/GZ35</f>
        <v>-0.16051345153490795</v>
      </c>
      <c r="HE39" s="53"/>
      <c r="HF39" s="53"/>
      <c r="HG39" s="53"/>
      <c r="HH39" s="24">
        <f t="shared" si="245"/>
        <v>34699</v>
      </c>
      <c r="HI39" s="95">
        <f t="shared" si="246"/>
        <v>935508</v>
      </c>
      <c r="HJ39" s="95">
        <f t="shared" si="247"/>
        <v>214483</v>
      </c>
      <c r="HK39" s="53"/>
    </row>
    <row r="40" spans="1:219">
      <c r="A40" s="24">
        <v>31808</v>
      </c>
      <c r="B40" s="25">
        <f t="shared" si="248"/>
        <v>855670</v>
      </c>
      <c r="C40" s="25">
        <f t="shared" si="249"/>
        <v>-106520</v>
      </c>
      <c r="D40" s="25">
        <f t="shared" si="243"/>
        <v>-425839</v>
      </c>
      <c r="E40" s="25">
        <f t="shared" si="132"/>
        <v>30038.166666666668</v>
      </c>
      <c r="F40" s="25"/>
      <c r="G40" s="25"/>
      <c r="H40" s="25">
        <f t="shared" si="133"/>
        <v>360458</v>
      </c>
      <c r="I40" s="25">
        <f t="shared" si="250"/>
        <v>738175</v>
      </c>
      <c r="J40" s="25">
        <f t="shared" si="251"/>
        <v>-377717</v>
      </c>
      <c r="K40" s="25">
        <f>AVERAGE(C38+C39+C40)</f>
        <v>-425839</v>
      </c>
      <c r="L40" s="25">
        <f t="shared" si="235"/>
        <v>169381</v>
      </c>
      <c r="M40" s="25"/>
      <c r="N40" s="25"/>
      <c r="O40" s="25"/>
      <c r="P40" s="25">
        <f t="shared" si="236"/>
        <v>347835.3593688212</v>
      </c>
      <c r="Q40" s="25">
        <f t="shared" si="237"/>
        <v>-222153.80880728277</v>
      </c>
      <c r="R40" s="25">
        <f t="shared" si="252"/>
        <v>855670</v>
      </c>
      <c r="S40" s="25">
        <f t="shared" si="238"/>
        <v>135554</v>
      </c>
      <c r="T40" s="25">
        <f t="shared" si="239"/>
        <v>1418522.2143234741</v>
      </c>
      <c r="U40" s="25">
        <f t="shared" si="240"/>
        <v>776443.85114146117</v>
      </c>
      <c r="V40" s="25"/>
      <c r="W40" s="25">
        <f t="shared" si="147"/>
        <v>11097777</v>
      </c>
      <c r="X40" s="157">
        <f t="shared" si="228"/>
        <v>0.33646582586528812</v>
      </c>
      <c r="Y40" s="25">
        <f t="shared" si="148"/>
        <v>1923244.7541</v>
      </c>
      <c r="Z40" s="25"/>
      <c r="AA40" s="51"/>
      <c r="AB40" s="224">
        <f t="shared" si="233"/>
        <v>1996</v>
      </c>
      <c r="AC40" s="225">
        <v>14948864.291200001</v>
      </c>
      <c r="AD40" s="603">
        <v>-319863.52300000004</v>
      </c>
      <c r="AE40" s="59">
        <f t="shared" si="244"/>
        <v>201839.30999999982</v>
      </c>
      <c r="AF40" s="59">
        <f t="shared" si="234"/>
        <v>3305010.3099999996</v>
      </c>
      <c r="AG40" s="125" t="s">
        <v>1290</v>
      </c>
      <c r="AH40" s="59"/>
      <c r="AI40" s="59"/>
      <c r="AJ40" s="59">
        <v>-8210.0200000000186</v>
      </c>
      <c r="AK40" s="59">
        <v>628853.38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/>
      <c r="BA40" s="59"/>
      <c r="BB40" s="51"/>
      <c r="BC40" s="53"/>
      <c r="BD40" s="53"/>
      <c r="BE40" s="53"/>
      <c r="BF40" s="53"/>
      <c r="BG40" s="53"/>
      <c r="BH40" s="50"/>
      <c r="BI40" s="59"/>
      <c r="BJ40"/>
      <c r="BK40" s="22" t="s">
        <v>387</v>
      </c>
      <c r="BL40" s="25">
        <v>848032.79</v>
      </c>
      <c r="BM40" s="29">
        <v>982244.63</v>
      </c>
      <c r="BN40" s="29">
        <v>941673</v>
      </c>
      <c r="BO40" s="26">
        <v>998322.85</v>
      </c>
      <c r="BP40" s="26">
        <f>BS3</f>
        <v>947414</v>
      </c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5"/>
      <c r="CE40" s="25"/>
      <c r="CO40" s="79"/>
      <c r="DI40" s="6"/>
      <c r="DJ40" s="56"/>
      <c r="DK40" s="56"/>
      <c r="DL40" s="56"/>
      <c r="DM40" s="56"/>
      <c r="DN40" s="56"/>
      <c r="DO40" s="56"/>
      <c r="DP40" s="56"/>
      <c r="DQ40" s="56"/>
      <c r="DR40" s="56"/>
      <c r="DS40" s="56"/>
      <c r="DT40" s="56"/>
      <c r="DU40" s="56"/>
      <c r="FP40" s="640"/>
      <c r="FQ40" s="640"/>
      <c r="FR40" s="640"/>
      <c r="FS40" s="640"/>
      <c r="FT40" s="640"/>
      <c r="FU40" s="640"/>
      <c r="FV40" s="640"/>
      <c r="FW40" s="640"/>
      <c r="FX40" s="640"/>
      <c r="FY40" s="640"/>
      <c r="FZ40" s="640"/>
      <c r="GA40" s="640"/>
      <c r="GB40" s="640"/>
      <c r="GC40" s="640"/>
      <c r="GD40" s="640"/>
      <c r="GE40" s="640"/>
      <c r="GF40" s="640"/>
      <c r="GG40" s="640"/>
      <c r="GH40" s="640"/>
      <c r="GI40" s="640"/>
      <c r="GJ40" s="640"/>
      <c r="GK40" s="640"/>
      <c r="GL40" s="24">
        <f>A119</f>
        <v>34212</v>
      </c>
      <c r="GM40" s="97">
        <f>SUM(B117:B119)</f>
        <v>3442201.5039999997</v>
      </c>
      <c r="GN40" s="97">
        <f>SUM(C117:C119)</f>
        <v>3963.3969999999972</v>
      </c>
      <c r="GO40" s="5">
        <f t="shared" si="224"/>
        <v>333404.53200000001</v>
      </c>
      <c r="GP40" s="25" t="e">
        <f t="shared" si="155"/>
        <v>#DIV/0!</v>
      </c>
      <c r="GQ40" s="25" t="e">
        <f t="shared" si="156"/>
        <v>#DIV/0!</v>
      </c>
      <c r="GR40" s="48">
        <f t="shared" si="174"/>
        <v>-48558.321500000005</v>
      </c>
      <c r="GS40" s="48">
        <f t="shared" si="230"/>
        <v>-90059.729250000019</v>
      </c>
      <c r="GT40" s="48">
        <f t="shared" si="184"/>
        <v>-194233.28600000002</v>
      </c>
      <c r="GU40" s="48">
        <f t="shared" si="231"/>
        <v>-360238.91700000007</v>
      </c>
      <c r="GV40" s="75">
        <f t="shared" si="175"/>
        <v>-194233.28600000002</v>
      </c>
      <c r="GW40" s="75">
        <f t="shared" si="232"/>
        <v>-360238.91700000007</v>
      </c>
      <c r="GX40" s="48">
        <f t="shared" si="229"/>
        <v>166005.63100000005</v>
      </c>
      <c r="GY40" s="48">
        <f t="shared" si="221"/>
        <v>-277236.10150000005</v>
      </c>
      <c r="GZ40" s="75">
        <f t="shared" si="185"/>
        <v>13035217.7256</v>
      </c>
      <c r="HA40" s="157">
        <f t="shared" si="222"/>
        <v>-1.4900655293125118E-2</v>
      </c>
      <c r="HB40" s="4"/>
      <c r="HC40" s="292">
        <f>(GZ40-GZ36)/GZ36</f>
        <v>-0.15196282366795141</v>
      </c>
      <c r="HE40" s="53"/>
      <c r="HF40" s="53"/>
      <c r="HG40" s="53"/>
      <c r="HH40" s="24">
        <f t="shared" si="245"/>
        <v>34730</v>
      </c>
      <c r="HI40" s="95">
        <f t="shared" si="246"/>
        <v>785719</v>
      </c>
      <c r="HJ40" s="95">
        <f t="shared" si="247"/>
        <v>-61164</v>
      </c>
      <c r="HK40" s="53"/>
    </row>
    <row r="41" spans="1:219">
      <c r="A41" s="24">
        <v>31836</v>
      </c>
      <c r="B41" s="25">
        <f t="shared" si="248"/>
        <v>1076054</v>
      </c>
      <c r="C41" s="25">
        <f t="shared" si="249"/>
        <v>-60644</v>
      </c>
      <c r="D41" s="25">
        <f t="shared" si="243"/>
        <v>-443065</v>
      </c>
      <c r="E41" s="25">
        <f t="shared" si="132"/>
        <v>4028</v>
      </c>
      <c r="F41" s="25"/>
      <c r="G41" s="25"/>
      <c r="H41" s="25">
        <f t="shared" si="133"/>
        <v>48336</v>
      </c>
      <c r="I41" s="25">
        <f t="shared" si="250"/>
        <v>1043965</v>
      </c>
      <c r="J41" s="25">
        <f t="shared" si="251"/>
        <v>-995629</v>
      </c>
      <c r="K41" s="25"/>
      <c r="L41" s="25">
        <f t="shared" si="235"/>
        <v>45876</v>
      </c>
      <c r="M41" s="25"/>
      <c r="N41" s="25"/>
      <c r="O41" s="25"/>
      <c r="P41" s="25">
        <f t="shared" si="236"/>
        <v>347835.3593688212</v>
      </c>
      <c r="Q41" s="25">
        <f t="shared" si="237"/>
        <v>-222153.80880728277</v>
      </c>
      <c r="R41" s="25">
        <f t="shared" si="252"/>
        <v>1076054</v>
      </c>
      <c r="S41" s="25">
        <f t="shared" si="238"/>
        <v>220384</v>
      </c>
      <c r="T41" s="25">
        <f t="shared" si="239"/>
        <v>1418522.2143234741</v>
      </c>
      <c r="U41" s="25">
        <f t="shared" si="240"/>
        <v>776443.85114146117</v>
      </c>
      <c r="V41" s="25"/>
      <c r="W41" s="25">
        <f t="shared" si="147"/>
        <v>11195551</v>
      </c>
      <c r="X41" s="157">
        <f t="shared" si="228"/>
        <v>0.25908501245246329</v>
      </c>
      <c r="Y41" s="25">
        <f t="shared" si="148"/>
        <v>1940188.9883000001</v>
      </c>
      <c r="Z41" s="25"/>
      <c r="AA41" s="51"/>
      <c r="AB41" s="224">
        <f t="shared" si="233"/>
        <v>1997</v>
      </c>
      <c r="AC41" s="225">
        <v>13105212.707999999</v>
      </c>
      <c r="AD41" s="603">
        <v>36242.263000000021</v>
      </c>
      <c r="AE41" s="59">
        <f t="shared" si="244"/>
        <v>216081.57299999986</v>
      </c>
      <c r="AF41" s="59">
        <f t="shared" si="234"/>
        <v>3341252.5729999994</v>
      </c>
      <c r="AG41" s="125" t="s">
        <v>726</v>
      </c>
      <c r="AH41" s="59"/>
      <c r="AI41" s="59"/>
      <c r="AJ41" s="59">
        <v>-278282.18</v>
      </c>
      <c r="AK41" s="59">
        <v>468557.73</v>
      </c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/>
      <c r="BA41" s="59"/>
      <c r="BB41" s="51"/>
      <c r="BC41" s="53"/>
      <c r="BD41" s="53"/>
      <c r="BE41" s="53"/>
      <c r="BF41" s="53"/>
      <c r="BG41" s="53"/>
      <c r="BH41" s="50"/>
      <c r="BI41" s="59"/>
      <c r="BJ41"/>
      <c r="BK41" s="22" t="s">
        <v>496</v>
      </c>
      <c r="BL41" s="25">
        <v>1139825.47</v>
      </c>
      <c r="BM41" s="25">
        <v>1341804.5</v>
      </c>
      <c r="BN41" s="25">
        <v>1311880</v>
      </c>
      <c r="BO41" s="25">
        <v>1002287.17</v>
      </c>
      <c r="BP41" s="26">
        <f>BS4</f>
        <v>861699</v>
      </c>
      <c r="BQ41" s="26"/>
      <c r="BR41" s="26"/>
      <c r="BS41" s="26"/>
      <c r="BT41">
        <v>1357571</v>
      </c>
      <c r="BU41">
        <v>1439772</v>
      </c>
      <c r="BV41">
        <v>1596853</v>
      </c>
      <c r="BW41">
        <v>1560948</v>
      </c>
      <c r="BX41">
        <v>2035054</v>
      </c>
      <c r="BY41">
        <v>2249884</v>
      </c>
      <c r="BZ41">
        <v>1821719</v>
      </c>
      <c r="CA41">
        <v>2340680</v>
      </c>
      <c r="CB41">
        <v>1468549</v>
      </c>
      <c r="CC41">
        <v>2078908</v>
      </c>
      <c r="CD41">
        <v>1812999</v>
      </c>
      <c r="CE41">
        <v>2109752</v>
      </c>
      <c r="CO41" s="79"/>
      <c r="DI41" s="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FP41" s="640"/>
      <c r="FQ41" s="640"/>
      <c r="FR41" s="640"/>
      <c r="FS41" s="640"/>
      <c r="FT41" s="640"/>
      <c r="FU41" s="640"/>
      <c r="FV41" s="640"/>
      <c r="FW41" s="640"/>
      <c r="FX41" s="640"/>
      <c r="FY41" s="640"/>
      <c r="FZ41" s="640"/>
      <c r="GA41" s="640"/>
      <c r="GB41" s="640"/>
      <c r="GC41" s="640"/>
      <c r="GD41" s="640"/>
      <c r="GE41" s="640"/>
      <c r="GF41" s="640"/>
      <c r="GG41" s="640"/>
      <c r="GH41" s="640"/>
      <c r="GI41" s="640"/>
      <c r="GJ41" s="640"/>
      <c r="GK41" s="640"/>
      <c r="GL41" s="24">
        <f>A122</f>
        <v>34303</v>
      </c>
      <c r="GM41" s="97">
        <f>SUM(B120:B122)</f>
        <v>3626254.64</v>
      </c>
      <c r="GN41" s="97">
        <f>SUM(C120:C122)</f>
        <v>277446.853</v>
      </c>
      <c r="GO41" s="5">
        <f t="shared" si="224"/>
        <v>273483.45600000001</v>
      </c>
      <c r="GP41" s="25" t="e">
        <f t="shared" si="155"/>
        <v>#DIV/0!</v>
      </c>
      <c r="GQ41" s="25" t="e">
        <f t="shared" si="156"/>
        <v>#DIV/0!</v>
      </c>
      <c r="GR41" s="565">
        <f t="shared" si="174"/>
        <v>9060.5657499999943</v>
      </c>
      <c r="GS41" s="48">
        <f t="shared" si="230"/>
        <v>-79965.880749999997</v>
      </c>
      <c r="GT41" s="48">
        <f t="shared" si="184"/>
        <v>36242.262999999977</v>
      </c>
      <c r="GU41" s="48">
        <f t="shared" si="231"/>
        <v>-319863.52299999999</v>
      </c>
      <c r="GV41" s="75">
        <f t="shared" si="175"/>
        <v>36242.262999999977</v>
      </c>
      <c r="GW41" s="75">
        <f t="shared" si="232"/>
        <v>-319863.52299999999</v>
      </c>
      <c r="GX41" s="48">
        <f t="shared" si="229"/>
        <v>356105.78599999996</v>
      </c>
      <c r="GY41" s="48">
        <f t="shared" si="221"/>
        <v>-141810.63</v>
      </c>
      <c r="GZ41" s="75">
        <f t="shared" si="185"/>
        <v>13105212.708000001</v>
      </c>
      <c r="HA41" s="157">
        <f t="shared" ref="HA41:HA65" si="253">GV41/GZ41</f>
        <v>2.7654845295167242E-3</v>
      </c>
      <c r="HB41" s="4"/>
      <c r="HC41" s="292">
        <f>(GZ41-GZ37)/GZ37</f>
        <v>-0.12333054520304321</v>
      </c>
      <c r="HE41" s="53"/>
      <c r="HF41" s="53"/>
      <c r="HG41" s="53"/>
      <c r="HH41" s="24">
        <f t="shared" si="245"/>
        <v>34758</v>
      </c>
      <c r="HI41" s="95">
        <f t="shared" si="246"/>
        <v>1218188</v>
      </c>
      <c r="HJ41" s="95">
        <f t="shared" si="247"/>
        <v>253193</v>
      </c>
      <c r="HK41" s="53"/>
    </row>
    <row r="42" spans="1:219" ht="14" thickBot="1">
      <c r="A42" s="24">
        <v>31867</v>
      </c>
      <c r="B42" s="25">
        <f t="shared" si="248"/>
        <v>1014512</v>
      </c>
      <c r="C42" s="25">
        <f t="shared" si="249"/>
        <v>73341</v>
      </c>
      <c r="D42" s="25">
        <f t="shared" si="243"/>
        <v>-93823</v>
      </c>
      <c r="E42" s="25">
        <f t="shared" si="132"/>
        <v>6989.75</v>
      </c>
      <c r="F42" s="25"/>
      <c r="G42" s="25"/>
      <c r="H42" s="25">
        <f t="shared" si="133"/>
        <v>83877</v>
      </c>
      <c r="I42" s="25">
        <f t="shared" si="250"/>
        <v>1190022</v>
      </c>
      <c r="J42" s="25">
        <f t="shared" si="251"/>
        <v>-1106145</v>
      </c>
      <c r="K42" s="25"/>
      <c r="L42" s="25">
        <f t="shared" si="235"/>
        <v>133985</v>
      </c>
      <c r="M42" s="25"/>
      <c r="N42" s="25"/>
      <c r="O42" s="25"/>
      <c r="P42" s="25">
        <f t="shared" si="236"/>
        <v>347835.3593688212</v>
      </c>
      <c r="Q42" s="25">
        <f t="shared" si="237"/>
        <v>-222153.80880728277</v>
      </c>
      <c r="R42" s="25">
        <f t="shared" si="252"/>
        <v>1014512</v>
      </c>
      <c r="S42" s="25">
        <f t="shared" si="238"/>
        <v>61542</v>
      </c>
      <c r="T42" s="25">
        <f t="shared" si="239"/>
        <v>1418522.2143234741</v>
      </c>
      <c r="U42" s="25">
        <f t="shared" si="240"/>
        <v>776443.85114146117</v>
      </c>
      <c r="V42" s="25"/>
      <c r="W42" s="25">
        <f t="shared" si="147"/>
        <v>11332048</v>
      </c>
      <c r="X42" s="157">
        <f t="shared" si="228"/>
        <v>0.19944613173910272</v>
      </c>
      <c r="Y42" s="25">
        <f t="shared" si="148"/>
        <v>1963843.9184000001</v>
      </c>
      <c r="Z42" s="25"/>
      <c r="AA42" s="51"/>
      <c r="AB42" s="224">
        <f t="shared" si="233"/>
        <v>1998</v>
      </c>
      <c r="AC42" s="225">
        <v>11625440</v>
      </c>
      <c r="AD42" s="603">
        <v>-844960</v>
      </c>
      <c r="AE42" s="669">
        <f t="shared" si="244"/>
        <v>-1225737.5670000003</v>
      </c>
      <c r="AF42" s="59">
        <f t="shared" si="234"/>
        <v>2496292.5729999994</v>
      </c>
      <c r="AG42" s="126" t="s">
        <v>727</v>
      </c>
      <c r="AH42" s="59"/>
      <c r="AI42" s="59"/>
      <c r="AJ42" s="59">
        <v>-154886.13</v>
      </c>
      <c r="AK42" s="59">
        <v>329617.74</v>
      </c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/>
      <c r="BA42" s="59"/>
      <c r="BB42"/>
      <c r="BC42" s="53"/>
      <c r="BD42" s="53"/>
      <c r="BE42" s="53"/>
      <c r="BF42" s="53"/>
      <c r="BG42" s="53"/>
      <c r="BH42" s="50"/>
      <c r="BI42" s="59"/>
      <c r="BJ42"/>
      <c r="BK42" s="22" t="s">
        <v>497</v>
      </c>
      <c r="BL42" s="25">
        <v>1543435.8</v>
      </c>
      <c r="BM42" s="25">
        <v>1556073.57</v>
      </c>
      <c r="BN42" s="25">
        <v>976478</v>
      </c>
      <c r="BO42" s="25">
        <v>981280.47</v>
      </c>
      <c r="BP42" s="26">
        <f>BS5</f>
        <v>1115770</v>
      </c>
      <c r="BQ42" s="26"/>
      <c r="BR42" s="26"/>
      <c r="BS42" s="26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O42" s="79"/>
      <c r="DI42" s="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FP42" s="640"/>
      <c r="FQ42" s="640"/>
      <c r="FR42" s="640"/>
      <c r="FS42" s="640"/>
      <c r="FT42" s="640"/>
      <c r="FU42" s="640"/>
      <c r="FV42" s="640"/>
      <c r="FW42" s="640"/>
      <c r="FX42" s="640"/>
      <c r="FY42" s="640"/>
      <c r="FZ42" s="640"/>
      <c r="GA42" s="640"/>
      <c r="GB42" s="640"/>
      <c r="GC42" s="640"/>
      <c r="GD42" s="640"/>
      <c r="GE42" s="640"/>
      <c r="GF42" s="640"/>
      <c r="GG42" s="640"/>
      <c r="GH42" s="640"/>
      <c r="GI42" s="640"/>
      <c r="GJ42" s="640"/>
      <c r="GK42" s="640"/>
      <c r="GL42" s="24">
        <f>A125</f>
        <v>34393</v>
      </c>
      <c r="GM42" s="97">
        <f>SUM(B123:B125)</f>
        <v>2924883</v>
      </c>
      <c r="GN42" s="97">
        <f>SUM(C123:C125)</f>
        <v>-265951</v>
      </c>
      <c r="GO42" s="5">
        <f t="shared" si="224"/>
        <v>543397.853</v>
      </c>
      <c r="GP42" s="25" t="e">
        <f t="shared" si="155"/>
        <v>#DIV/0!</v>
      </c>
      <c r="GQ42" s="25" t="e">
        <f t="shared" si="156"/>
        <v>#DIV/0!</v>
      </c>
      <c r="GR42" s="48">
        <f t="shared" si="174"/>
        <v>-78495.471250000002</v>
      </c>
      <c r="GS42" s="48">
        <f t="shared" si="230"/>
        <v>7652.7567500000005</v>
      </c>
      <c r="GT42" s="48">
        <f t="shared" si="184"/>
        <v>-313981.88500000001</v>
      </c>
      <c r="GU42" s="48">
        <f t="shared" si="231"/>
        <v>30611.027000000002</v>
      </c>
      <c r="GV42" s="75">
        <f t="shared" si="175"/>
        <v>-313981.88500000001</v>
      </c>
      <c r="GW42" s="75">
        <f t="shared" si="232"/>
        <v>30611.027000000002</v>
      </c>
      <c r="GX42" s="48">
        <f t="shared" si="229"/>
        <v>-344592.91200000001</v>
      </c>
      <c r="GY42" s="48">
        <f t="shared" si="221"/>
        <v>-141685.429</v>
      </c>
      <c r="GZ42" s="75">
        <f t="shared" si="185"/>
        <v>12881430.220000001</v>
      </c>
      <c r="HA42" s="157">
        <f t="shared" si="253"/>
        <v>-2.4374768922204353E-2</v>
      </c>
      <c r="HB42" s="4"/>
      <c r="HC42" s="292">
        <f t="shared" si="241"/>
        <v>-0.12051586293797642</v>
      </c>
      <c r="HE42" s="53"/>
      <c r="HF42" s="53"/>
      <c r="HG42" s="53"/>
      <c r="HH42" s="24">
        <f t="shared" si="245"/>
        <v>34789</v>
      </c>
      <c r="HI42" s="95">
        <f t="shared" si="246"/>
        <v>942406</v>
      </c>
      <c r="HJ42" s="95">
        <f t="shared" si="247"/>
        <v>51239</v>
      </c>
      <c r="HK42" s="53"/>
    </row>
    <row r="43" spans="1:219">
      <c r="A43" s="24">
        <v>31897</v>
      </c>
      <c r="B43" s="25">
        <f t="shared" si="248"/>
        <v>1244896</v>
      </c>
      <c r="C43" s="25">
        <f t="shared" si="249"/>
        <v>184099</v>
      </c>
      <c r="D43" s="25">
        <f t="shared" si="243"/>
        <v>196796</v>
      </c>
      <c r="E43" s="25">
        <f t="shared" si="132"/>
        <v>20956.083333333332</v>
      </c>
      <c r="F43" s="25"/>
      <c r="G43" s="25"/>
      <c r="H43" s="25">
        <f t="shared" si="133"/>
        <v>251473</v>
      </c>
      <c r="I43" s="25">
        <f t="shared" si="250"/>
        <v>1053977</v>
      </c>
      <c r="J43" s="25">
        <f t="shared" si="251"/>
        <v>-802504</v>
      </c>
      <c r="K43" s="25"/>
      <c r="L43" s="25">
        <f t="shared" si="235"/>
        <v>110758</v>
      </c>
      <c r="M43" s="25"/>
      <c r="N43" s="25"/>
      <c r="O43" s="25"/>
      <c r="P43" s="25">
        <f t="shared" si="236"/>
        <v>347835.3593688212</v>
      </c>
      <c r="Q43" s="25">
        <f t="shared" si="237"/>
        <v>-222153.80880728277</v>
      </c>
      <c r="R43" s="25">
        <f t="shared" si="252"/>
        <v>1244896</v>
      </c>
      <c r="S43" s="25">
        <f t="shared" si="238"/>
        <v>230384</v>
      </c>
      <c r="T43" s="25">
        <f t="shared" si="239"/>
        <v>1418522.2143234741</v>
      </c>
      <c r="U43" s="25">
        <f t="shared" si="240"/>
        <v>776443.85114146117</v>
      </c>
      <c r="V43" s="25"/>
      <c r="W43" s="25">
        <f t="shared" si="147"/>
        <v>11757272</v>
      </c>
      <c r="X43" s="157">
        <f t="shared" si="228"/>
        <v>0.22696667814258009</v>
      </c>
      <c r="Y43" s="25">
        <f t="shared" si="148"/>
        <v>2037535.2376000001</v>
      </c>
      <c r="Z43" s="25"/>
      <c r="AA43" s="51"/>
      <c r="AB43" s="224">
        <f t="shared" si="233"/>
        <v>1999</v>
      </c>
      <c r="AC43" s="225">
        <v>11939454</v>
      </c>
      <c r="AD43" s="603">
        <v>1121905</v>
      </c>
      <c r="AE43" s="59">
        <f t="shared" si="244"/>
        <v>-555775.44700000016</v>
      </c>
      <c r="AF43" s="59">
        <f t="shared" si="234"/>
        <v>3618197.5729999994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 s="53"/>
      <c r="BD43" s="53"/>
      <c r="BE43" s="53"/>
      <c r="BF43" s="53"/>
      <c r="BG43" s="53"/>
      <c r="BH43" s="50"/>
      <c r="BI43" s="59"/>
      <c r="BJ43"/>
      <c r="BK43" s="22" t="s">
        <v>820</v>
      </c>
      <c r="BL43" s="25">
        <v>1444828.1599999999</v>
      </c>
      <c r="BM43" s="25">
        <v>1240782.3500000001</v>
      </c>
      <c r="BN43" s="25">
        <v>1129211</v>
      </c>
      <c r="BO43" s="25">
        <v>802294.24</v>
      </c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O43" s="79"/>
      <c r="DI43" s="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FP43" s="640"/>
      <c r="FQ43" s="640"/>
      <c r="FR43" s="640"/>
      <c r="FS43" s="640"/>
      <c r="FT43" s="640"/>
      <c r="FU43" s="640"/>
      <c r="FV43" s="640"/>
      <c r="FW43" s="640"/>
      <c r="FX43" s="640"/>
      <c r="FY43" s="640"/>
      <c r="FZ43" s="640"/>
      <c r="GA43" s="640"/>
      <c r="GB43" s="640"/>
      <c r="GC43" s="640"/>
      <c r="GD43" s="640"/>
      <c r="GE43" s="640"/>
      <c r="GF43" s="640"/>
      <c r="GG43" s="640"/>
      <c r="GH43" s="640"/>
      <c r="GI43" s="640"/>
      <c r="GJ43" s="640"/>
      <c r="GK43" s="640"/>
      <c r="GL43" s="24">
        <f>A128</f>
        <v>34485</v>
      </c>
      <c r="GM43" s="97">
        <f>SUM(B126:B128)</f>
        <v>2877578</v>
      </c>
      <c r="GN43" s="97">
        <f>SUM(C126:C128)</f>
        <v>-280733</v>
      </c>
      <c r="GO43" s="5">
        <f t="shared" si="224"/>
        <v>14782</v>
      </c>
      <c r="GP43" s="25" t="e">
        <f t="shared" si="155"/>
        <v>#DIV/0!</v>
      </c>
      <c r="GQ43" s="25" t="e">
        <f t="shared" si="156"/>
        <v>#DIV/0!</v>
      </c>
      <c r="GR43" s="48">
        <f t="shared" si="174"/>
        <v>-66318.4375</v>
      </c>
      <c r="GS43" s="48">
        <f t="shared" si="230"/>
        <v>-104739.33575</v>
      </c>
      <c r="GT43" s="48">
        <f t="shared" si="184"/>
        <v>-265273.75</v>
      </c>
      <c r="GU43" s="48">
        <f t="shared" si="231"/>
        <v>-418957.34299999999</v>
      </c>
      <c r="GV43" s="75">
        <f t="shared" si="175"/>
        <v>-265273.75</v>
      </c>
      <c r="GW43" s="75">
        <f t="shared" si="232"/>
        <v>-418957.34299999999</v>
      </c>
      <c r="GX43" s="48">
        <f t="shared" si="229"/>
        <v>153683.59299999999</v>
      </c>
      <c r="GY43" s="48">
        <f t="shared" si="221"/>
        <v>-342115.5465</v>
      </c>
      <c r="GZ43" s="75">
        <f t="shared" si="185"/>
        <v>12870917.143999999</v>
      </c>
      <c r="HA43" s="157">
        <f t="shared" si="253"/>
        <v>-2.0610322250707826E-2</v>
      </c>
      <c r="HB43" s="4"/>
      <c r="HC43" s="292">
        <f t="shared" si="241"/>
        <v>-3.4992858990857349E-2</v>
      </c>
      <c r="HE43" s="53"/>
      <c r="HF43" s="53"/>
      <c r="HG43" s="53"/>
      <c r="HH43" s="24">
        <f t="shared" si="245"/>
        <v>34819</v>
      </c>
      <c r="HI43" s="95">
        <f t="shared" si="246"/>
        <v>1033703</v>
      </c>
      <c r="HJ43" s="95">
        <f t="shared" si="247"/>
        <v>149035</v>
      </c>
      <c r="HK43" s="53"/>
    </row>
    <row r="44" spans="1:219">
      <c r="A44" s="24">
        <v>31928</v>
      </c>
      <c r="B44" s="25">
        <f t="shared" si="248"/>
        <v>1000425</v>
      </c>
      <c r="C44" s="25">
        <f t="shared" si="249"/>
        <v>101907</v>
      </c>
      <c r="D44" s="25">
        <f t="shared" si="243"/>
        <v>359347</v>
      </c>
      <c r="E44" s="25">
        <f t="shared" si="132"/>
        <v>18152.166666666668</v>
      </c>
      <c r="F44" s="25"/>
      <c r="G44" s="25"/>
      <c r="H44" s="25">
        <f t="shared" si="133"/>
        <v>217826</v>
      </c>
      <c r="I44" s="25">
        <f t="shared" si="250"/>
        <v>1017682</v>
      </c>
      <c r="J44" s="25">
        <f t="shared" si="251"/>
        <v>-799856</v>
      </c>
      <c r="K44" s="25"/>
      <c r="L44" s="25">
        <f t="shared" si="235"/>
        <v>82192</v>
      </c>
      <c r="M44" s="25"/>
      <c r="N44" s="25"/>
      <c r="O44" s="25"/>
      <c r="P44" s="25">
        <f t="shared" si="236"/>
        <v>347835.3593688212</v>
      </c>
      <c r="Q44" s="25">
        <f t="shared" si="237"/>
        <v>-222153.80880728277</v>
      </c>
      <c r="R44" s="25">
        <f t="shared" si="252"/>
        <v>1000425</v>
      </c>
      <c r="S44" s="25">
        <f t="shared" si="238"/>
        <v>244471</v>
      </c>
      <c r="T44" s="25">
        <f t="shared" si="239"/>
        <v>1418522.2143234741</v>
      </c>
      <c r="U44" s="25">
        <f t="shared" si="240"/>
        <v>776443.85114146117</v>
      </c>
      <c r="V44" s="25"/>
      <c r="W44" s="25">
        <f t="shared" si="147"/>
        <v>11689853</v>
      </c>
      <c r="X44" s="157">
        <f t="shared" si="228"/>
        <v>0.19420878076288323</v>
      </c>
      <c r="Y44" s="25">
        <f t="shared" si="148"/>
        <v>2025851.5249000001</v>
      </c>
      <c r="Z44" s="25"/>
      <c r="AA44" s="51"/>
      <c r="AB44" s="224">
        <f t="shared" si="233"/>
        <v>2000</v>
      </c>
      <c r="AC44" s="225">
        <f>BU15</f>
        <v>13489594</v>
      </c>
      <c r="AD44" s="603">
        <f>AN15</f>
        <v>1860698</v>
      </c>
      <c r="AE44" s="59">
        <f t="shared" si="244"/>
        <v>1854021.74</v>
      </c>
      <c r="AF44" s="59">
        <f t="shared" si="234"/>
        <v>5478895.5729999989</v>
      </c>
      <c r="AH44" s="53">
        <v>1994</v>
      </c>
      <c r="AI44" s="53">
        <v>1995</v>
      </c>
      <c r="AJ44" s="53">
        <v>1996</v>
      </c>
      <c r="AK44" s="53">
        <v>1997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/>
      <c r="BA44" s="53"/>
      <c r="BB44" s="53"/>
      <c r="BC44" s="53"/>
      <c r="BD44" s="53"/>
      <c r="BE44" s="53"/>
      <c r="BF44" s="53"/>
      <c r="BG44" s="53"/>
      <c r="BH44" s="50"/>
      <c r="BI44" s="59"/>
      <c r="BJ44"/>
      <c r="BK44" s="22" t="s">
        <v>953</v>
      </c>
      <c r="BL44" s="25">
        <v>1280376.58</v>
      </c>
      <c r="BM44" s="25">
        <v>1264723.04</v>
      </c>
      <c r="BN44" s="25">
        <v>1437823</v>
      </c>
      <c r="BO44" s="25">
        <v>1038413.24</v>
      </c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O44" s="79"/>
      <c r="DI44" s="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FP44" s="640"/>
      <c r="FQ44" s="640"/>
      <c r="FR44" s="640"/>
      <c r="FS44" s="640"/>
      <c r="FT44" s="640"/>
      <c r="FU44" s="640"/>
      <c r="FV44" s="640"/>
      <c r="FW44" s="640"/>
      <c r="FX44" s="640"/>
      <c r="FY44" s="640"/>
      <c r="FZ44" s="640"/>
      <c r="GA44" s="640"/>
      <c r="GB44" s="640"/>
      <c r="GC44" s="640"/>
      <c r="GD44" s="640"/>
      <c r="GE44" s="640"/>
      <c r="GF44" s="640"/>
      <c r="GG44" s="640"/>
      <c r="GH44" s="640"/>
      <c r="GI44" s="640"/>
      <c r="GJ44" s="640"/>
      <c r="GK44" s="640"/>
      <c r="GL44" s="24">
        <f>A131</f>
        <v>34577</v>
      </c>
      <c r="GM44" s="97">
        <f>SUM(B129:B131)</f>
        <v>2753828</v>
      </c>
      <c r="GN44" s="97">
        <f>SUM(C129:C131)</f>
        <v>-563637</v>
      </c>
      <c r="GO44" s="5">
        <f t="shared" si="224"/>
        <v>282904</v>
      </c>
      <c r="GP44" s="25" t="e">
        <f t="shared" si="155"/>
        <v>#DIV/0!</v>
      </c>
      <c r="GQ44" s="25" t="e">
        <f t="shared" si="156"/>
        <v>#DIV/0!</v>
      </c>
      <c r="GR44" s="48">
        <f t="shared" si="174"/>
        <v>-208218.53675</v>
      </c>
      <c r="GS44" s="48">
        <f t="shared" si="230"/>
        <v>-48558.321500000005</v>
      </c>
      <c r="GT44" s="48">
        <f t="shared" si="184"/>
        <v>-832874.147</v>
      </c>
      <c r="GU44" s="48">
        <f t="shared" si="231"/>
        <v>-194233.28600000002</v>
      </c>
      <c r="GV44" s="75">
        <f t="shared" si="175"/>
        <v>-832874.147</v>
      </c>
      <c r="GW44" s="75">
        <f t="shared" si="232"/>
        <v>-194233.28600000002</v>
      </c>
      <c r="GX44" s="48">
        <f t="shared" si="229"/>
        <v>-638640.86100000003</v>
      </c>
      <c r="GY44" s="48">
        <f t="shared" si="221"/>
        <v>-513553.71649999998</v>
      </c>
      <c r="GZ44" s="75">
        <f t="shared" si="185"/>
        <v>12182543.640000001</v>
      </c>
      <c r="HA44" s="157">
        <f t="shared" si="253"/>
        <v>-6.8366194418163398E-2</v>
      </c>
      <c r="HB44" s="4"/>
      <c r="HC44" s="292">
        <f t="shared" si="241"/>
        <v>-6.541310652030187E-2</v>
      </c>
      <c r="HE44" s="53"/>
      <c r="HF44" s="53"/>
      <c r="HG44" s="53"/>
      <c r="HH44" s="24">
        <f t="shared" si="245"/>
        <v>34850</v>
      </c>
      <c r="HI44" s="95">
        <f t="shared" si="246"/>
        <v>929225</v>
      </c>
      <c r="HJ44" s="95">
        <f t="shared" si="247"/>
        <v>43197</v>
      </c>
      <c r="HK44" s="53"/>
    </row>
    <row r="45" spans="1:219">
      <c r="A45" s="24">
        <v>31958</v>
      </c>
      <c r="B45" s="25">
        <f t="shared" si="248"/>
        <v>1016436</v>
      </c>
      <c r="C45" s="25">
        <f t="shared" si="249"/>
        <v>145273</v>
      </c>
      <c r="D45" s="25">
        <f t="shared" si="243"/>
        <v>431279</v>
      </c>
      <c r="E45" s="25">
        <f t="shared" si="132"/>
        <v>20094.833333333332</v>
      </c>
      <c r="F45" s="25"/>
      <c r="G45" s="25"/>
      <c r="H45" s="25">
        <f t="shared" si="133"/>
        <v>241138</v>
      </c>
      <c r="I45" s="25">
        <f t="shared" si="250"/>
        <v>1064565</v>
      </c>
      <c r="J45" s="25">
        <f t="shared" si="251"/>
        <v>-823427</v>
      </c>
      <c r="K45" s="25"/>
      <c r="L45" s="25">
        <f t="shared" si="235"/>
        <v>43366</v>
      </c>
      <c r="M45" s="25"/>
      <c r="N45" s="25"/>
      <c r="O45" s="25"/>
      <c r="P45" s="25">
        <f t="shared" si="236"/>
        <v>347835.3593688212</v>
      </c>
      <c r="Q45" s="25">
        <f t="shared" si="237"/>
        <v>-222153.80880728277</v>
      </c>
      <c r="R45" s="25">
        <f t="shared" si="252"/>
        <v>1016436</v>
      </c>
      <c r="S45" s="25">
        <f t="shared" si="238"/>
        <v>16011</v>
      </c>
      <c r="T45" s="25">
        <f t="shared" si="239"/>
        <v>1418522.2143234741</v>
      </c>
      <c r="U45" s="25">
        <f t="shared" si="240"/>
        <v>776443.85114146117</v>
      </c>
      <c r="V45" s="25"/>
      <c r="W45" s="25">
        <f t="shared" si="147"/>
        <v>11739247</v>
      </c>
      <c r="X45" s="157">
        <f t="shared" si="228"/>
        <v>0.16521437299753156</v>
      </c>
      <c r="Y45" s="25">
        <f t="shared" si="148"/>
        <v>2034411.5051000002</v>
      </c>
      <c r="Z45" s="25"/>
      <c r="AA45" s="51"/>
      <c r="AB45" s="224">
        <f t="shared" si="233"/>
        <v>2001</v>
      </c>
      <c r="AC45" s="225">
        <f>BV15</f>
        <v>16240418</v>
      </c>
      <c r="AD45" s="603">
        <f>AO15</f>
        <v>2639717</v>
      </c>
      <c r="AE45" s="59">
        <f t="shared" si="244"/>
        <v>4813602.2630000003</v>
      </c>
      <c r="AF45" s="59">
        <f t="shared" si="234"/>
        <v>8118612.5729999989</v>
      </c>
      <c r="AH45" s="60" t="s">
        <v>936</v>
      </c>
      <c r="AI45" s="60" t="s">
        <v>936</v>
      </c>
      <c r="AJ45" s="60" t="s">
        <v>936</v>
      </c>
      <c r="AK45" s="60" t="s">
        <v>936</v>
      </c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53"/>
      <c r="BB45" s="53"/>
      <c r="BC45" s="53"/>
      <c r="BD45" s="53"/>
      <c r="BE45" s="53"/>
      <c r="BF45" s="53"/>
      <c r="BG45" s="53"/>
      <c r="BH45" s="50"/>
      <c r="BI45" s="59"/>
      <c r="BJ45"/>
      <c r="BK45" s="22" t="s">
        <v>970</v>
      </c>
      <c r="BL45" s="25">
        <v>1853685.36</v>
      </c>
      <c r="BM45" s="25">
        <v>1475519.68</v>
      </c>
      <c r="BN45" s="25">
        <v>1437823</v>
      </c>
      <c r="BO45" s="25">
        <v>926103.42</v>
      </c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O45" s="79"/>
      <c r="DI45" s="6"/>
      <c r="DJ45" s="56"/>
      <c r="DK45" s="56"/>
      <c r="DL45" s="56"/>
      <c r="DM45" s="56"/>
      <c r="DN45" s="56"/>
      <c r="DO45" s="56"/>
      <c r="DP45" s="56"/>
      <c r="DQ45" s="56"/>
      <c r="DR45" s="56"/>
      <c r="DS45" s="56"/>
      <c r="DT45" s="56"/>
      <c r="DU45" s="56"/>
      <c r="FP45" s="640"/>
      <c r="FQ45" s="640"/>
      <c r="FR45" s="640"/>
      <c r="FS45" s="640"/>
      <c r="FT45" s="640"/>
      <c r="FU45" s="640"/>
      <c r="FV45" s="640"/>
      <c r="FW45" s="640"/>
      <c r="FX45" s="640"/>
      <c r="FY45" s="640"/>
      <c r="FZ45" s="640"/>
      <c r="GA45" s="640"/>
      <c r="GB45" s="640"/>
      <c r="GC45" s="640"/>
      <c r="GD45" s="640"/>
      <c r="GE45" s="640"/>
      <c r="GF45" s="640"/>
      <c r="GG45" s="640"/>
      <c r="GH45" s="640"/>
      <c r="GI45" s="640"/>
      <c r="GJ45" s="640"/>
      <c r="GK45" s="640"/>
      <c r="GL45" s="24">
        <f>A134</f>
        <v>34668</v>
      </c>
      <c r="GM45" s="97">
        <f>SUM(B132:B134)</f>
        <v>3069151</v>
      </c>
      <c r="GN45" s="97">
        <f>SUM(C132:C134)</f>
        <v>265361</v>
      </c>
      <c r="GO45" s="5">
        <f t="shared" si="224"/>
        <v>828998</v>
      </c>
      <c r="GP45" s="25">
        <f t="shared" ref="GP45:GP76" si="254">$GN$118+1.023*$GO$118</f>
        <v>725091.61679999996</v>
      </c>
      <c r="GQ45" s="25">
        <f t="shared" ref="GQ45:GQ76" si="255">$GN$118-1.023*$GO$118</f>
        <v>43442.983200000017</v>
      </c>
      <c r="GR45" s="565">
        <f t="shared" si="174"/>
        <v>-211240</v>
      </c>
      <c r="GS45" s="48">
        <f t="shared" si="230"/>
        <v>9060.5657499999943</v>
      </c>
      <c r="GT45" s="48">
        <f t="shared" si="184"/>
        <v>-844960</v>
      </c>
      <c r="GU45" s="48">
        <f t="shared" si="231"/>
        <v>36242.262999999977</v>
      </c>
      <c r="GV45" s="75">
        <f t="shared" si="175"/>
        <v>-844960</v>
      </c>
      <c r="GW45" s="75">
        <f t="shared" si="232"/>
        <v>36242.262999999977</v>
      </c>
      <c r="GX45" s="48">
        <f t="shared" ref="GX45:GX50" si="256">GV45-GW45</f>
        <v>-881202.26300000004</v>
      </c>
      <c r="GY45" s="48">
        <f t="shared" si="221"/>
        <v>-404358.86849999998</v>
      </c>
      <c r="GZ45" s="75">
        <f t="shared" si="185"/>
        <v>11625440</v>
      </c>
      <c r="HA45" s="157">
        <f t="shared" si="253"/>
        <v>-7.2681980208921124E-2</v>
      </c>
      <c r="HB45" s="4"/>
      <c r="HC45" s="292">
        <f t="shared" si="241"/>
        <v>-0.11291481801716061</v>
      </c>
      <c r="HE45" s="53"/>
      <c r="HF45" s="53"/>
      <c r="HG45" s="53"/>
      <c r="HH45" s="24">
        <f t="shared" si="245"/>
        <v>34880</v>
      </c>
      <c r="HI45" s="95">
        <f t="shared" si="246"/>
        <v>1012575</v>
      </c>
      <c r="HJ45" s="95">
        <f t="shared" si="247"/>
        <v>180995</v>
      </c>
      <c r="HK45" s="53"/>
    </row>
    <row r="46" spans="1:219">
      <c r="A46" s="24">
        <v>31989</v>
      </c>
      <c r="B46" s="25">
        <f t="shared" si="248"/>
        <v>1172276</v>
      </c>
      <c r="C46" s="25">
        <f t="shared" si="249"/>
        <v>116123</v>
      </c>
      <c r="D46" s="25">
        <f t="shared" si="243"/>
        <v>363303</v>
      </c>
      <c r="E46" s="25">
        <f t="shared" si="132"/>
        <v>17955.25</v>
      </c>
      <c r="F46" s="25"/>
      <c r="G46" s="25"/>
      <c r="H46" s="25">
        <f t="shared" si="133"/>
        <v>215463</v>
      </c>
      <c r="I46" s="25">
        <f t="shared" si="250"/>
        <v>1102093</v>
      </c>
      <c r="J46" s="25">
        <f t="shared" si="251"/>
        <v>-886630</v>
      </c>
      <c r="K46" s="25"/>
      <c r="L46" s="25">
        <f t="shared" si="235"/>
        <v>29150</v>
      </c>
      <c r="M46" s="25"/>
      <c r="N46" s="25"/>
      <c r="O46" s="25"/>
      <c r="P46" s="25">
        <f t="shared" si="236"/>
        <v>347835.3593688212</v>
      </c>
      <c r="Q46" s="25">
        <f t="shared" si="237"/>
        <v>-222153.80880728277</v>
      </c>
      <c r="R46" s="25">
        <f t="shared" si="252"/>
        <v>1172276</v>
      </c>
      <c r="S46" s="25">
        <f t="shared" si="238"/>
        <v>155840</v>
      </c>
      <c r="T46" s="25">
        <f t="shared" si="239"/>
        <v>1418522.2143234741</v>
      </c>
      <c r="U46" s="25">
        <f t="shared" si="240"/>
        <v>776443.85114146117</v>
      </c>
      <c r="V46" s="25"/>
      <c r="W46" s="25">
        <f t="shared" si="147"/>
        <v>11836826</v>
      </c>
      <c r="X46" s="157">
        <f t="shared" si="228"/>
        <v>0.14560232062160947</v>
      </c>
      <c r="Y46" s="25">
        <f t="shared" si="148"/>
        <v>2051321.9458000001</v>
      </c>
      <c r="Z46" s="25"/>
      <c r="AA46" s="51"/>
      <c r="AB46" s="224">
        <f t="shared" si="233"/>
        <v>2002</v>
      </c>
      <c r="AC46" s="225">
        <f>BW15</f>
        <v>13860911</v>
      </c>
      <c r="AD46" s="603">
        <f>AP15</f>
        <v>528302</v>
      </c>
      <c r="AE46" s="59">
        <f t="shared" si="244"/>
        <v>5305662</v>
      </c>
      <c r="AF46" s="59">
        <f t="shared" si="234"/>
        <v>8646914.5729999989</v>
      </c>
      <c r="AG46" s="22"/>
      <c r="AH46" s="59">
        <v>-274225</v>
      </c>
      <c r="AI46" s="59">
        <v>-266064.09999999998</v>
      </c>
      <c r="AJ46" s="59">
        <v>-166352.57</v>
      </c>
      <c r="AK46" s="59">
        <v>82208.009999999995</v>
      </c>
      <c r="AL46" s="59">
        <f>AL31</f>
        <v>112286</v>
      </c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3"/>
      <c r="BB46" s="53"/>
      <c r="BC46" s="53"/>
      <c r="BD46" s="53"/>
      <c r="BE46" s="53"/>
      <c r="BF46" s="53"/>
      <c r="BG46" s="53"/>
      <c r="BH46" s="50"/>
      <c r="BI46" s="59"/>
      <c r="BJ46"/>
      <c r="BK46" s="22" t="s">
        <v>972</v>
      </c>
      <c r="BL46" s="25">
        <v>1404537.79</v>
      </c>
      <c r="BM46" s="25">
        <v>1301454.67</v>
      </c>
      <c r="BN46" s="25">
        <v>1267685</v>
      </c>
      <c r="BO46" s="25">
        <v>1013783.8</v>
      </c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O46" s="79"/>
      <c r="DI46" s="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FP46" s="640"/>
      <c r="FQ46" s="640"/>
      <c r="FR46" s="640"/>
      <c r="FS46" s="640"/>
      <c r="FT46" s="640"/>
      <c r="FU46" s="640"/>
      <c r="FV46" s="640"/>
      <c r="FW46" s="640"/>
      <c r="FX46" s="640"/>
      <c r="FY46" s="640"/>
      <c r="FZ46" s="640"/>
      <c r="GA46" s="640"/>
      <c r="GB46" s="640"/>
      <c r="GC46" s="640"/>
      <c r="GD46" s="640"/>
      <c r="GE46" s="640"/>
      <c r="GF46" s="640"/>
      <c r="GG46" s="640"/>
      <c r="GH46" s="640"/>
      <c r="GI46" s="640"/>
      <c r="GJ46" s="640"/>
      <c r="GK46" s="640"/>
      <c r="GL46" s="24">
        <f>A137</f>
        <v>34758</v>
      </c>
      <c r="GM46" s="97">
        <f>SUM(B135:B137)</f>
        <v>2939415</v>
      </c>
      <c r="GN46" s="97">
        <f>SUM(C135:C137)</f>
        <v>406512</v>
      </c>
      <c r="GO46" s="5">
        <f t="shared" si="224"/>
        <v>141151</v>
      </c>
      <c r="GP46" s="25">
        <f t="shared" si="254"/>
        <v>725091.61679999996</v>
      </c>
      <c r="GQ46" s="25">
        <f t="shared" si="255"/>
        <v>43442.983200000017</v>
      </c>
      <c r="GR46" s="48">
        <f t="shared" si="174"/>
        <v>-43124.25</v>
      </c>
      <c r="GS46" s="48">
        <f t="shared" si="230"/>
        <v>-78495.471250000002</v>
      </c>
      <c r="GT46" s="48">
        <f t="shared" si="184"/>
        <v>-172497</v>
      </c>
      <c r="GU46" s="48">
        <f t="shared" si="231"/>
        <v>-313981.88500000001</v>
      </c>
      <c r="GV46" s="75">
        <f t="shared" si="175"/>
        <v>-172497</v>
      </c>
      <c r="GW46" s="75">
        <f t="shared" si="232"/>
        <v>-313981.88500000001</v>
      </c>
      <c r="GX46" s="48">
        <f t="shared" si="256"/>
        <v>141484.88500000001</v>
      </c>
      <c r="GY46" s="48">
        <f t="shared" si="221"/>
        <v>-243239.4425</v>
      </c>
      <c r="GZ46" s="75">
        <f t="shared" si="185"/>
        <v>11639972</v>
      </c>
      <c r="HA46" s="157">
        <f t="shared" si="253"/>
        <v>-1.4819365544865572E-2</v>
      </c>
      <c r="HB46" s="4"/>
      <c r="HC46" s="292">
        <f t="shared" si="241"/>
        <v>-9.6375806008907647E-2</v>
      </c>
      <c r="HE46" s="53"/>
      <c r="HF46" s="53"/>
      <c r="HG46" s="53"/>
      <c r="HH46" s="24">
        <f t="shared" si="245"/>
        <v>34911</v>
      </c>
      <c r="HI46" s="95">
        <f t="shared" si="246"/>
        <v>922523</v>
      </c>
      <c r="HJ46" s="95">
        <f t="shared" si="247"/>
        <v>87008</v>
      </c>
      <c r="HK46" s="53"/>
    </row>
    <row r="47" spans="1:219">
      <c r="A47" s="24">
        <v>32020</v>
      </c>
      <c r="B47" s="25">
        <f t="shared" si="248"/>
        <v>1126652</v>
      </c>
      <c r="C47" s="25">
        <f t="shared" si="249"/>
        <v>118297</v>
      </c>
      <c r="D47" s="25">
        <f t="shared" si="243"/>
        <v>379693</v>
      </c>
      <c r="E47" s="25">
        <f t="shared" ref="E47:E78" si="257">AVERAGE(C36:C47)</f>
        <v>8537.8333333333339</v>
      </c>
      <c r="F47" s="25"/>
      <c r="G47" s="25"/>
      <c r="H47" s="25">
        <f t="shared" si="133"/>
        <v>102454</v>
      </c>
      <c r="I47" s="25">
        <f t="shared" si="250"/>
        <v>1156302</v>
      </c>
      <c r="J47" s="25">
        <f t="shared" si="251"/>
        <v>-1053848</v>
      </c>
      <c r="K47" s="25"/>
      <c r="L47" s="25">
        <f t="shared" si="235"/>
        <v>2174</v>
      </c>
      <c r="M47" s="25"/>
      <c r="N47" s="25"/>
      <c r="O47" s="25"/>
      <c r="P47" s="25">
        <f t="shared" si="236"/>
        <v>347835.3593688212</v>
      </c>
      <c r="Q47" s="25">
        <f t="shared" si="237"/>
        <v>-222153.80880728277</v>
      </c>
      <c r="R47" s="25">
        <f>BL11+R19</f>
        <v>1811669</v>
      </c>
      <c r="S47" s="25">
        <f t="shared" si="238"/>
        <v>639393</v>
      </c>
      <c r="T47" s="25">
        <f t="shared" si="239"/>
        <v>1418522.2143234741</v>
      </c>
      <c r="U47" s="25">
        <f t="shared" si="240"/>
        <v>776443.85114146117</v>
      </c>
      <c r="V47" s="25"/>
      <c r="W47" s="25">
        <f t="shared" si="147"/>
        <v>12566703</v>
      </c>
      <c r="X47" s="157">
        <f t="shared" si="228"/>
        <v>0.19156497700396866</v>
      </c>
      <c r="Y47" s="25">
        <f t="shared" si="148"/>
        <v>2177809.6299000001</v>
      </c>
      <c r="Z47" s="25"/>
      <c r="AA47" s="51"/>
      <c r="AB47" s="224">
        <f t="shared" si="233"/>
        <v>2003</v>
      </c>
      <c r="AC47" s="225">
        <f>BX15</f>
        <v>14675000</v>
      </c>
      <c r="AD47" s="603">
        <f>AQ15</f>
        <v>952096</v>
      </c>
      <c r="AE47" s="59">
        <f t="shared" si="244"/>
        <v>7102718</v>
      </c>
      <c r="AF47" s="59">
        <f t="shared" si="234"/>
        <v>9599010.5729999989</v>
      </c>
      <c r="AG47" s="22"/>
      <c r="AH47" s="59">
        <v>-159788.32999999999</v>
      </c>
      <c r="AI47" s="59">
        <v>-67182.600000000006</v>
      </c>
      <c r="AJ47" s="59">
        <v>132562</v>
      </c>
      <c r="AK47" s="59">
        <v>18570.330000000002</v>
      </c>
      <c r="AL47" s="59">
        <f>AL32</f>
        <v>-233253</v>
      </c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3"/>
      <c r="BB47" s="53"/>
      <c r="BC47" s="53"/>
      <c r="BD47" s="53"/>
      <c r="BE47" s="53"/>
      <c r="BF47" s="53"/>
      <c r="BG47" s="53"/>
      <c r="BH47" s="50"/>
      <c r="BI47" s="59"/>
      <c r="BJ47"/>
      <c r="BK47" s="22" t="s">
        <v>740</v>
      </c>
      <c r="BL47" s="25">
        <v>1664277</v>
      </c>
      <c r="BM47" s="25">
        <v>1584773.62</v>
      </c>
      <c r="BN47" s="25">
        <v>1135508</v>
      </c>
      <c r="BO47" s="25">
        <v>1054579.28</v>
      </c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O47" s="79"/>
      <c r="DI47" s="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FP47" s="640"/>
      <c r="FQ47" s="640"/>
      <c r="FR47" s="640"/>
      <c r="FS47" s="640"/>
      <c r="FT47" s="640"/>
      <c r="FU47" s="640"/>
      <c r="FV47" s="640"/>
      <c r="FW47" s="640"/>
      <c r="FX47" s="640"/>
      <c r="FY47" s="640"/>
      <c r="FZ47" s="640"/>
      <c r="GA47" s="640"/>
      <c r="GB47" s="640"/>
      <c r="GC47" s="640"/>
      <c r="GD47" s="640"/>
      <c r="GE47" s="640"/>
      <c r="GF47" s="640"/>
      <c r="GG47" s="640"/>
      <c r="GH47" s="640"/>
      <c r="GI47" s="640"/>
      <c r="GJ47" s="640"/>
      <c r="GK47" s="640"/>
      <c r="GL47" s="24">
        <f>A140</f>
        <v>34850</v>
      </c>
      <c r="GM47" s="97">
        <f>SUM(B138:B140)</f>
        <v>2905334</v>
      </c>
      <c r="GN47" s="97">
        <f>SUM(C138:C140)</f>
        <v>243471</v>
      </c>
      <c r="GO47" s="5">
        <f t="shared" si="224"/>
        <v>163041</v>
      </c>
      <c r="GP47" s="25">
        <f t="shared" si="254"/>
        <v>725091.61679999996</v>
      </c>
      <c r="GQ47" s="25">
        <f t="shared" si="255"/>
        <v>43442.983200000017</v>
      </c>
      <c r="GR47" s="48">
        <f t="shared" si="174"/>
        <v>87926.75</v>
      </c>
      <c r="GS47" s="48">
        <f t="shared" si="230"/>
        <v>-66318.4375</v>
      </c>
      <c r="GT47" s="48">
        <f t="shared" si="184"/>
        <v>351707</v>
      </c>
      <c r="GU47" s="48">
        <f t="shared" si="231"/>
        <v>-265273.75</v>
      </c>
      <c r="GV47" s="75">
        <f t="shared" si="175"/>
        <v>351707</v>
      </c>
      <c r="GW47" s="75">
        <f t="shared" si="232"/>
        <v>-265273.75</v>
      </c>
      <c r="GX47" s="48">
        <f t="shared" si="256"/>
        <v>616980.75</v>
      </c>
      <c r="GY47" s="48">
        <f t="shared" si="221"/>
        <v>43216.625</v>
      </c>
      <c r="GZ47" s="75">
        <f t="shared" si="185"/>
        <v>11667728</v>
      </c>
      <c r="HA47" s="157">
        <f t="shared" si="253"/>
        <v>3.0143572081899748E-2</v>
      </c>
      <c r="HB47" s="4"/>
      <c r="HC47" s="292">
        <f t="shared" si="241"/>
        <v>-9.348122830243584E-2</v>
      </c>
      <c r="HE47" s="53"/>
      <c r="HF47" s="53"/>
      <c r="HG47" s="53"/>
      <c r="HH47" s="24">
        <f t="shared" si="245"/>
        <v>34942</v>
      </c>
      <c r="HI47" s="95">
        <f t="shared" si="246"/>
        <v>1064149</v>
      </c>
      <c r="HJ47" s="95">
        <f t="shared" si="247"/>
        <v>166292</v>
      </c>
      <c r="HK47" s="53"/>
    </row>
    <row r="48" spans="1:219">
      <c r="A48" s="24">
        <v>32050</v>
      </c>
      <c r="B48" s="25">
        <f t="shared" si="248"/>
        <v>1551438</v>
      </c>
      <c r="C48" s="25">
        <f t="shared" si="249"/>
        <v>286313</v>
      </c>
      <c r="D48" s="25">
        <f t="shared" si="243"/>
        <v>520733</v>
      </c>
      <c r="E48" s="25">
        <f t="shared" si="257"/>
        <v>35498.583333333336</v>
      </c>
      <c r="F48" s="25"/>
      <c r="G48" s="25"/>
      <c r="H48" s="25">
        <f t="shared" si="133"/>
        <v>425983</v>
      </c>
      <c r="I48" s="25">
        <f t="shared" si="250"/>
        <v>994353</v>
      </c>
      <c r="J48" s="25">
        <f t="shared" si="251"/>
        <v>-568370</v>
      </c>
      <c r="K48" s="25"/>
      <c r="L48" s="25">
        <f t="shared" si="235"/>
        <v>168016</v>
      </c>
      <c r="M48" s="25"/>
      <c r="N48" s="25"/>
      <c r="O48" s="25"/>
      <c r="P48" s="25">
        <f t="shared" si="236"/>
        <v>347835.3593688212</v>
      </c>
      <c r="Q48" s="25">
        <f t="shared" si="237"/>
        <v>-222153.80880728277</v>
      </c>
      <c r="R48" s="25">
        <f>BL12</f>
        <v>1551438</v>
      </c>
      <c r="S48" s="25">
        <f t="shared" si="238"/>
        <v>260231</v>
      </c>
      <c r="T48" s="25">
        <f t="shared" si="239"/>
        <v>1418522.2143234741</v>
      </c>
      <c r="U48" s="25">
        <f t="shared" si="240"/>
        <v>776443.85114146117</v>
      </c>
      <c r="V48" s="25"/>
      <c r="W48" s="25">
        <f t="shared" si="147"/>
        <v>13168119</v>
      </c>
      <c r="X48" s="157">
        <f t="shared" si="228"/>
        <v>0.23290783666515674</v>
      </c>
      <c r="Y48" s="25">
        <f t="shared" si="148"/>
        <v>2282035.0227000001</v>
      </c>
      <c r="Z48" s="25"/>
      <c r="AA48" s="51"/>
      <c r="AB48" s="224">
        <f t="shared" si="233"/>
        <v>2004</v>
      </c>
      <c r="AC48" s="225">
        <f>BY15</f>
        <v>14009513</v>
      </c>
      <c r="AD48" s="603">
        <f>AR15</f>
        <v>-253094</v>
      </c>
      <c r="AE48" s="59">
        <f t="shared" ref="AE48:AE54" si="258">SUM(AD44:AD48)</f>
        <v>5727719</v>
      </c>
      <c r="AF48" s="669">
        <f t="shared" ref="AF48:AF54" si="259">AF47+AD48</f>
        <v>9345916.5729999989</v>
      </c>
      <c r="AG48" s="22"/>
      <c r="AH48" s="59">
        <v>101323</v>
      </c>
      <c r="AI48" s="59">
        <v>-23960</v>
      </c>
      <c r="AJ48" s="59">
        <v>-242782</v>
      </c>
      <c r="AK48" s="59">
        <v>25463.66</v>
      </c>
      <c r="AL48" s="59">
        <f>AL33</f>
        <v>-67735</v>
      </c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3"/>
      <c r="BB48" s="53"/>
      <c r="BC48" s="53"/>
      <c r="BD48" s="53"/>
      <c r="BE48" s="53"/>
      <c r="BF48" s="53"/>
      <c r="BG48" s="53"/>
      <c r="BH48" s="50"/>
      <c r="BI48" s="59"/>
      <c r="BJ48"/>
      <c r="BK48" s="22" t="s">
        <v>668</v>
      </c>
      <c r="BL48" s="25">
        <v>1726743</v>
      </c>
      <c r="BM48" s="25">
        <v>1218856</v>
      </c>
      <c r="BN48" s="25">
        <v>1135455</v>
      </c>
      <c r="BO48" s="25">
        <v>1232278.8799999999</v>
      </c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O48" s="79"/>
      <c r="DI48" s="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ET48" s="750">
        <v>2446219</v>
      </c>
      <c r="EU48" s="750">
        <v>2676993</v>
      </c>
      <c r="EV48" s="750">
        <v>1992999</v>
      </c>
      <c r="EW48" s="750">
        <v>2394920</v>
      </c>
      <c r="FP48" s="640"/>
      <c r="FQ48" s="640"/>
      <c r="FR48" s="640"/>
      <c r="FS48" s="640"/>
      <c r="FT48" s="640"/>
      <c r="FU48" s="640"/>
      <c r="FV48" s="640"/>
      <c r="FW48" s="640"/>
      <c r="FX48" s="640"/>
      <c r="FY48" s="640"/>
      <c r="FZ48" s="640"/>
      <c r="GA48" s="640"/>
      <c r="GB48" s="640"/>
      <c r="GC48" s="640"/>
      <c r="GD48" s="640"/>
      <c r="GE48" s="640"/>
      <c r="GF48" s="640"/>
      <c r="GG48" s="640"/>
      <c r="GH48" s="640"/>
      <c r="GI48" s="640"/>
      <c r="GJ48" s="640"/>
      <c r="GK48" s="640"/>
      <c r="GL48" s="24">
        <f>A143</f>
        <v>34942</v>
      </c>
      <c r="GM48" s="97">
        <f>SUM(B141:B143)</f>
        <v>2999247</v>
      </c>
      <c r="GN48" s="97">
        <f>SUM(C141:C143)</f>
        <v>434295</v>
      </c>
      <c r="GO48" s="5">
        <f t="shared" ref="GO48:GO53" si="260">((GN48-GN47)^2)^0.5</f>
        <v>190824</v>
      </c>
      <c r="GP48" s="25">
        <f t="shared" si="254"/>
        <v>725091.61679999996</v>
      </c>
      <c r="GQ48" s="25">
        <f t="shared" si="255"/>
        <v>43442.983200000017</v>
      </c>
      <c r="GR48" s="48">
        <f t="shared" si="174"/>
        <v>337409.75</v>
      </c>
      <c r="GS48" s="48">
        <f t="shared" si="230"/>
        <v>-208218.53675</v>
      </c>
      <c r="GT48" s="48">
        <f t="shared" ref="GT48:GT53" si="261">SUM(GN45:GN48)</f>
        <v>1349639</v>
      </c>
      <c r="GU48" s="48">
        <f t="shared" si="231"/>
        <v>-832874.147</v>
      </c>
      <c r="GV48" s="75">
        <f t="shared" si="175"/>
        <v>1349639</v>
      </c>
      <c r="GW48" s="75">
        <f t="shared" si="232"/>
        <v>-832874.147</v>
      </c>
      <c r="GX48" s="48">
        <f t="shared" si="256"/>
        <v>2182513.1469999999</v>
      </c>
      <c r="GY48" s="48">
        <f t="shared" si="221"/>
        <v>258382.4265</v>
      </c>
      <c r="GZ48" s="75">
        <f t="shared" si="185"/>
        <v>11913147</v>
      </c>
      <c r="HA48" s="157">
        <f t="shared" si="253"/>
        <v>0.11328988049925011</v>
      </c>
      <c r="HB48" s="4"/>
      <c r="HC48" s="292">
        <f t="shared" si="241"/>
        <v>-2.211333264717126E-2</v>
      </c>
      <c r="HE48" s="53"/>
      <c r="HF48" s="53"/>
      <c r="HG48" s="53"/>
      <c r="HH48" s="24">
        <f t="shared" si="245"/>
        <v>34972</v>
      </c>
      <c r="HI48" s="95">
        <f t="shared" si="246"/>
        <v>857407</v>
      </c>
      <c r="HJ48" s="95">
        <f t="shared" si="247"/>
        <v>-64578</v>
      </c>
      <c r="HK48" s="71"/>
    </row>
    <row r="49" spans="1:219">
      <c r="A49" s="24">
        <v>32081</v>
      </c>
      <c r="B49" s="25">
        <f t="shared" si="248"/>
        <v>1723450</v>
      </c>
      <c r="C49" s="25">
        <f t="shared" si="249"/>
        <v>280766</v>
      </c>
      <c r="D49" s="25">
        <f t="shared" si="243"/>
        <v>685376</v>
      </c>
      <c r="E49" s="25">
        <f t="shared" si="257"/>
        <v>68303</v>
      </c>
      <c r="F49" s="25"/>
      <c r="G49" s="25"/>
      <c r="H49" s="25">
        <f t="shared" si="133"/>
        <v>819636</v>
      </c>
      <c r="I49" s="25">
        <f t="shared" si="250"/>
        <v>783371</v>
      </c>
      <c r="J49" s="25">
        <f t="shared" si="251"/>
        <v>36265</v>
      </c>
      <c r="K49" s="25"/>
      <c r="L49" s="25">
        <f t="shared" si="235"/>
        <v>5547</v>
      </c>
      <c r="M49" s="25"/>
      <c r="N49" s="25"/>
      <c r="O49" s="25"/>
      <c r="P49" s="25">
        <f t="shared" si="236"/>
        <v>347835.3593688212</v>
      </c>
      <c r="Q49" s="25">
        <f t="shared" si="237"/>
        <v>-222153.80880728277</v>
      </c>
      <c r="R49" s="25">
        <f>BL13</f>
        <v>1723450</v>
      </c>
      <c r="S49" s="25">
        <f t="shared" si="238"/>
        <v>172012</v>
      </c>
      <c r="T49" s="25">
        <f t="shared" si="239"/>
        <v>1418522.2143234741</v>
      </c>
      <c r="U49" s="25">
        <f t="shared" si="240"/>
        <v>776443.85114146117</v>
      </c>
      <c r="V49" s="25"/>
      <c r="W49" s="25">
        <f t="shared" si="147"/>
        <v>14099009</v>
      </c>
      <c r="X49" s="157">
        <f t="shared" si="228"/>
        <v>0.32767143679496047</v>
      </c>
      <c r="Y49" s="25">
        <f t="shared" si="148"/>
        <v>2443358.2597000003</v>
      </c>
      <c r="Z49" s="25"/>
      <c r="AB49" s="224">
        <f t="shared" si="233"/>
        <v>2005</v>
      </c>
      <c r="AC49" s="225">
        <f>BZ15</f>
        <v>14915816</v>
      </c>
      <c r="AD49" s="603">
        <f>AS15</f>
        <v>165702</v>
      </c>
      <c r="AE49" s="59">
        <f t="shared" si="258"/>
        <v>4032723</v>
      </c>
      <c r="AF49" s="669">
        <f t="shared" si="259"/>
        <v>9511618.5729999989</v>
      </c>
      <c r="AG49" s="22"/>
      <c r="AH49" s="59">
        <v>-26628</v>
      </c>
      <c r="AI49" s="59">
        <v>-204075.65</v>
      </c>
      <c r="AJ49" s="59">
        <v>-7956</v>
      </c>
      <c r="AK49" s="59">
        <v>-199218.13</v>
      </c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3"/>
      <c r="BB49" s="53"/>
      <c r="BC49" s="53"/>
      <c r="BD49" s="53"/>
      <c r="BE49" s="53"/>
      <c r="BF49" s="53"/>
      <c r="BG49" s="53"/>
      <c r="BH49" s="50"/>
      <c r="BI49" s="59"/>
      <c r="BJ49"/>
      <c r="BK49" s="22" t="s">
        <v>1290</v>
      </c>
      <c r="BL49" s="25">
        <v>1692430</v>
      </c>
      <c r="BM49" s="25">
        <v>1192594</v>
      </c>
      <c r="BN49" s="25">
        <v>942702</v>
      </c>
      <c r="BO49" s="25">
        <v>1261277.79</v>
      </c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O49" s="79"/>
      <c r="DI49" s="6"/>
      <c r="DJ49" s="56"/>
      <c r="DK49" s="56"/>
      <c r="DL49" s="56"/>
      <c r="DM49" s="56"/>
      <c r="DN49" s="56"/>
      <c r="DO49" s="56"/>
      <c r="DP49" s="56"/>
      <c r="DQ49" s="56"/>
      <c r="DR49" s="56"/>
      <c r="DS49" s="56"/>
      <c r="DT49" s="56"/>
      <c r="DU49" s="56"/>
      <c r="ET49" s="750">
        <v>2446219</v>
      </c>
      <c r="EU49" s="750">
        <v>2676993</v>
      </c>
      <c r="EV49" s="750">
        <v>1992999</v>
      </c>
      <c r="EW49" s="750">
        <v>2394920</v>
      </c>
      <c r="FP49" s="640"/>
      <c r="FQ49" s="640"/>
      <c r="FR49" s="640"/>
      <c r="FS49" s="640"/>
      <c r="FT49" s="640"/>
      <c r="FU49" s="640"/>
      <c r="FV49" s="640"/>
      <c r="FW49" s="640"/>
      <c r="FX49" s="640"/>
      <c r="FY49" s="640"/>
      <c r="FZ49" s="640"/>
      <c r="GA49" s="640"/>
      <c r="GB49" s="640"/>
      <c r="GC49" s="640"/>
      <c r="GD49" s="640"/>
      <c r="GE49" s="640"/>
      <c r="GF49" s="640"/>
      <c r="GG49" s="640"/>
      <c r="GH49" s="640"/>
      <c r="GI49" s="640"/>
      <c r="GJ49" s="640"/>
      <c r="GK49" s="640"/>
      <c r="GL49" s="563">
        <f>A146</f>
        <v>35033</v>
      </c>
      <c r="GM49" s="215">
        <f>SUM(B144:B146)</f>
        <v>3095458</v>
      </c>
      <c r="GN49" s="215">
        <f>SUM(C144:C146)</f>
        <v>37627</v>
      </c>
      <c r="GO49" s="564">
        <f t="shared" si="260"/>
        <v>396668</v>
      </c>
      <c r="GP49" s="121">
        <f t="shared" si="254"/>
        <v>725091.61679999996</v>
      </c>
      <c r="GQ49" s="121">
        <f t="shared" si="255"/>
        <v>43442.983200000017</v>
      </c>
      <c r="GR49" s="565">
        <f t="shared" si="174"/>
        <v>280476.25</v>
      </c>
      <c r="GS49" s="565">
        <f t="shared" si="230"/>
        <v>-211240</v>
      </c>
      <c r="GT49" s="565">
        <f t="shared" si="261"/>
        <v>1121905</v>
      </c>
      <c r="GU49" s="565">
        <f t="shared" si="231"/>
        <v>-844960</v>
      </c>
      <c r="GV49" s="566">
        <f t="shared" si="175"/>
        <v>1121905</v>
      </c>
      <c r="GW49" s="566">
        <f t="shared" si="232"/>
        <v>-844960</v>
      </c>
      <c r="GX49" s="565">
        <f t="shared" si="256"/>
        <v>1966865</v>
      </c>
      <c r="GY49" s="565">
        <f t="shared" si="221"/>
        <v>138472.5</v>
      </c>
      <c r="GZ49" s="566">
        <f t="shared" si="185"/>
        <v>11939454</v>
      </c>
      <c r="HA49" s="567">
        <f t="shared" si="253"/>
        <v>9.3966189743685091E-2</v>
      </c>
      <c r="HB49" s="568"/>
      <c r="HC49" s="569">
        <f t="shared" si="241"/>
        <v>2.7010934639893201E-2</v>
      </c>
      <c r="HE49" s="53"/>
      <c r="HF49" s="53"/>
      <c r="HG49" s="53"/>
      <c r="HH49" s="24">
        <f t="shared" si="245"/>
        <v>35003</v>
      </c>
      <c r="HI49" s="95">
        <f t="shared" si="246"/>
        <v>1057871</v>
      </c>
      <c r="HJ49" s="95">
        <f t="shared" si="247"/>
        <v>112491</v>
      </c>
      <c r="HK49" s="53"/>
    </row>
    <row r="50" spans="1:219">
      <c r="A50" s="24">
        <v>32111</v>
      </c>
      <c r="B50" s="25">
        <f t="shared" si="248"/>
        <v>1596316</v>
      </c>
      <c r="C50" s="25">
        <f t="shared" si="249"/>
        <v>193079</v>
      </c>
      <c r="D50" s="25">
        <f t="shared" si="243"/>
        <v>760158</v>
      </c>
      <c r="E50" s="25">
        <f t="shared" si="257"/>
        <v>88011.083333333328</v>
      </c>
      <c r="F50" s="25"/>
      <c r="G50" s="25"/>
      <c r="H50" s="25">
        <f t="shared" si="133"/>
        <v>1056133</v>
      </c>
      <c r="I50" s="25">
        <f t="shared" si="250"/>
        <v>707259</v>
      </c>
      <c r="J50" s="25">
        <f t="shared" si="251"/>
        <v>348874</v>
      </c>
      <c r="K50" s="25"/>
      <c r="L50" s="25">
        <f t="shared" si="235"/>
        <v>87687</v>
      </c>
      <c r="M50" s="25"/>
      <c r="N50" s="25"/>
      <c r="O50" s="25"/>
      <c r="P50" s="25">
        <f t="shared" si="236"/>
        <v>347835.3593688212</v>
      </c>
      <c r="Q50" s="25">
        <f t="shared" si="237"/>
        <v>-222153.80880728277</v>
      </c>
      <c r="R50" s="25">
        <f>BL14</f>
        <v>1596316</v>
      </c>
      <c r="S50" s="25">
        <f t="shared" si="238"/>
        <v>127134</v>
      </c>
      <c r="T50" s="25">
        <f t="shared" si="239"/>
        <v>1418522.2143234741</v>
      </c>
      <c r="U50" s="25">
        <f t="shared" si="240"/>
        <v>776443.85114146117</v>
      </c>
      <c r="V50" s="25"/>
      <c r="W50" s="25">
        <f t="shared" si="147"/>
        <v>14783258</v>
      </c>
      <c r="X50" s="157">
        <f t="shared" si="228"/>
        <v>0.37295914851456829</v>
      </c>
      <c r="Y50" s="25">
        <f t="shared" si="148"/>
        <v>2561938.6114000003</v>
      </c>
      <c r="Z50" s="25"/>
      <c r="AB50" s="224">
        <f t="shared" si="233"/>
        <v>2006</v>
      </c>
      <c r="AC50" s="225">
        <f>CA15</f>
        <v>17041948</v>
      </c>
      <c r="AD50" s="603">
        <f>AT15</f>
        <v>76404</v>
      </c>
      <c r="AE50" s="59">
        <f t="shared" si="258"/>
        <v>1469410</v>
      </c>
      <c r="AF50" s="669">
        <f t="shared" si="259"/>
        <v>9588022.5729999989</v>
      </c>
      <c r="AG50" s="22"/>
      <c r="AH50" s="59">
        <v>-160633.47</v>
      </c>
      <c r="AI50" s="59">
        <v>-155035.23000000001</v>
      </c>
      <c r="AJ50" s="59">
        <v>166519.44</v>
      </c>
      <c r="AK50" s="59">
        <v>76140.7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3"/>
      <c r="BB50" s="53"/>
      <c r="BC50" s="53"/>
      <c r="BD50" s="53"/>
      <c r="BE50" s="53"/>
      <c r="BF50" s="53"/>
      <c r="BG50" s="53"/>
      <c r="BH50" s="50"/>
      <c r="BI50" s="59"/>
      <c r="BJ50"/>
      <c r="BK50" s="22" t="s">
        <v>726</v>
      </c>
      <c r="BL50" s="25">
        <v>1874636</v>
      </c>
      <c r="BM50" s="25">
        <v>1554000</v>
      </c>
      <c r="BN50" s="25">
        <v>1278992</v>
      </c>
      <c r="BO50" s="25">
        <v>1152859.8500000001</v>
      </c>
      <c r="BP50" s="25"/>
      <c r="BQ50" s="25"/>
      <c r="BR50" s="25"/>
      <c r="BS50" s="25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61"/>
      <c r="CE50" s="6"/>
      <c r="DI50" s="6"/>
      <c r="DU50" s="55"/>
      <c r="FP50" s="640"/>
      <c r="FQ50" s="640"/>
      <c r="FR50" s="640"/>
      <c r="FS50" s="640"/>
      <c r="FT50" s="640"/>
      <c r="FU50" s="640"/>
      <c r="FV50" s="640"/>
      <c r="FW50" s="640"/>
      <c r="FX50" s="640"/>
      <c r="FY50" s="640"/>
      <c r="FZ50" s="640"/>
      <c r="GA50" s="640"/>
      <c r="GB50" s="640"/>
      <c r="GC50" s="640"/>
      <c r="GD50" s="640"/>
      <c r="GE50" s="640"/>
      <c r="GF50" s="640"/>
      <c r="GG50" s="640"/>
      <c r="GH50" s="640"/>
      <c r="GI50" s="640"/>
      <c r="GJ50" s="640"/>
      <c r="GK50" s="640"/>
      <c r="GL50" s="24">
        <f>A149</f>
        <v>35124</v>
      </c>
      <c r="GM50" s="97">
        <f>SUM(B147:B149)</f>
        <v>3025293</v>
      </c>
      <c r="GN50" s="97">
        <f>SUM(C147:C149)</f>
        <v>475302</v>
      </c>
      <c r="GO50" s="5">
        <f t="shared" si="260"/>
        <v>437675</v>
      </c>
      <c r="GP50" s="25">
        <f t="shared" si="254"/>
        <v>725091.61679999996</v>
      </c>
      <c r="GQ50" s="25">
        <f t="shared" si="255"/>
        <v>43442.983200000017</v>
      </c>
      <c r="GR50" s="48">
        <f t="shared" si="174"/>
        <v>297673.75</v>
      </c>
      <c r="GS50" s="48">
        <f t="shared" si="230"/>
        <v>-43124.25</v>
      </c>
      <c r="GT50" s="48">
        <f t="shared" si="261"/>
        <v>1190695</v>
      </c>
      <c r="GU50" s="48">
        <f t="shared" si="231"/>
        <v>-172497</v>
      </c>
      <c r="GV50" s="75">
        <f t="shared" ref="GV50:GV55" si="262">SUM(GN47:GN50)</f>
        <v>1190695</v>
      </c>
      <c r="GW50" s="75">
        <f t="shared" si="232"/>
        <v>-172497</v>
      </c>
      <c r="GX50" s="48">
        <f t="shared" si="256"/>
        <v>1363192</v>
      </c>
      <c r="GY50" s="651">
        <f t="shared" si="221"/>
        <v>509099</v>
      </c>
      <c r="GZ50" s="75">
        <f t="shared" si="185"/>
        <v>12025332</v>
      </c>
      <c r="HA50" s="157">
        <f t="shared" si="253"/>
        <v>9.9015561483042636E-2</v>
      </c>
      <c r="HB50" s="4"/>
      <c r="HC50" s="292">
        <f t="shared" si="241"/>
        <v>3.3106608847512695E-2</v>
      </c>
      <c r="HE50" s="53"/>
      <c r="HF50" s="53"/>
      <c r="HG50" s="53"/>
      <c r="HH50" s="24">
        <f t="shared" si="245"/>
        <v>35033</v>
      </c>
      <c r="HI50" s="95">
        <f t="shared" si="246"/>
        <v>1180180</v>
      </c>
      <c r="HJ50" s="95">
        <f t="shared" si="247"/>
        <v>-10286</v>
      </c>
      <c r="HK50" s="53"/>
    </row>
    <row r="51" spans="1:219" ht="14" thickBot="1">
      <c r="A51" s="24">
        <v>32142</v>
      </c>
      <c r="B51" s="25">
        <f t="shared" ref="B51:B62" si="263">BM3</f>
        <v>1016229</v>
      </c>
      <c r="C51" s="25">
        <f t="shared" ref="C51:C62" si="264">AF3</f>
        <v>46377</v>
      </c>
      <c r="D51" s="25">
        <f t="shared" si="243"/>
        <v>520222</v>
      </c>
      <c r="E51" s="25">
        <f t="shared" si="257"/>
        <v>114867.58333333333</v>
      </c>
      <c r="F51" s="25"/>
      <c r="G51" s="25"/>
      <c r="H51" s="25">
        <f t="shared" si="133"/>
        <v>1378411</v>
      </c>
      <c r="I51" s="25">
        <f t="shared" si="250"/>
        <v>334296</v>
      </c>
      <c r="J51" s="25">
        <f t="shared" si="251"/>
        <v>1044115</v>
      </c>
      <c r="K51" s="25"/>
      <c r="L51" s="25">
        <f t="shared" si="235"/>
        <v>146702</v>
      </c>
      <c r="M51" s="25"/>
      <c r="N51" s="25"/>
      <c r="O51" s="25"/>
      <c r="P51" s="25">
        <f t="shared" si="236"/>
        <v>347835.3593688212</v>
      </c>
      <c r="Q51" s="25">
        <f t="shared" si="237"/>
        <v>-222153.80880728277</v>
      </c>
      <c r="R51" s="25">
        <f t="shared" ref="R51:R62" si="265">BM3</f>
        <v>1016229</v>
      </c>
      <c r="S51" s="25">
        <f t="shared" si="238"/>
        <v>580087</v>
      </c>
      <c r="T51" s="25">
        <f t="shared" si="239"/>
        <v>1418522.2143234741</v>
      </c>
      <c r="U51" s="25">
        <f t="shared" si="240"/>
        <v>776443.85114146117</v>
      </c>
      <c r="V51" s="25"/>
      <c r="W51" s="25">
        <f t="shared" si="147"/>
        <v>15079371</v>
      </c>
      <c r="X51" s="157">
        <f t="shared" si="228"/>
        <v>0.40323460930336824</v>
      </c>
      <c r="Y51" s="25">
        <f t="shared" si="148"/>
        <v>2613254.9943000004</v>
      </c>
      <c r="Z51" s="25"/>
      <c r="AB51" s="224">
        <f t="shared" si="233"/>
        <v>2007</v>
      </c>
      <c r="AC51" s="225">
        <f>CB15</f>
        <v>20401930</v>
      </c>
      <c r="AD51" s="603">
        <f>AU15</f>
        <v>1471472</v>
      </c>
      <c r="AE51" s="59">
        <f t="shared" si="258"/>
        <v>2412580</v>
      </c>
      <c r="AF51" s="669">
        <f t="shared" si="259"/>
        <v>11059494.572999999</v>
      </c>
      <c r="AG51" s="22"/>
      <c r="AH51" s="59">
        <v>329139.68</v>
      </c>
      <c r="AI51" s="59">
        <v>-69769.75</v>
      </c>
      <c r="AJ51" s="59">
        <v>-36877</v>
      </c>
      <c r="AK51" s="59">
        <v>-87956.07</v>
      </c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3"/>
      <c r="BB51" s="53"/>
      <c r="BC51" s="53"/>
      <c r="BD51" s="53"/>
      <c r="BE51" s="53"/>
      <c r="BF51" s="53"/>
      <c r="BG51" s="53"/>
      <c r="BH51" s="50"/>
      <c r="BI51" s="59"/>
      <c r="BJ51">
        <f>BG51</f>
        <v>0</v>
      </c>
      <c r="BK51" s="38" t="s">
        <v>727</v>
      </c>
      <c r="BL51" s="121">
        <v>1657065</v>
      </c>
      <c r="BM51" s="121">
        <v>1133890</v>
      </c>
      <c r="BN51" s="121">
        <v>1100000</v>
      </c>
      <c r="BO51" s="121">
        <v>1212117</v>
      </c>
      <c r="BP51" s="127"/>
      <c r="BQ51" s="127"/>
      <c r="BR51" s="127"/>
      <c r="BS51" s="127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"/>
      <c r="CE51" s="6"/>
      <c r="DI51" s="6"/>
      <c r="DU51" s="55"/>
      <c r="FO51" s="619"/>
      <c r="FP51" s="640"/>
      <c r="FQ51" s="640"/>
      <c r="FR51" s="640"/>
      <c r="FS51" s="640"/>
      <c r="FT51" s="640"/>
      <c r="FU51" s="640"/>
      <c r="FV51" s="640"/>
      <c r="FW51" s="640"/>
      <c r="FX51" s="640"/>
      <c r="FY51" s="640"/>
      <c r="FZ51" s="640"/>
      <c r="GA51" s="640"/>
      <c r="GB51" s="640"/>
      <c r="GC51" s="640"/>
      <c r="GD51" s="640"/>
      <c r="GE51" s="640"/>
      <c r="GF51" s="640"/>
      <c r="GG51" s="640"/>
      <c r="GH51" s="640"/>
      <c r="GI51" s="640"/>
      <c r="GJ51" s="640"/>
      <c r="GK51" s="640"/>
      <c r="GL51" s="24">
        <f>A152</f>
        <v>35216</v>
      </c>
      <c r="GM51" s="97">
        <f>SUM(B150:B152)</f>
        <v>3561467</v>
      </c>
      <c r="GN51" s="97">
        <f>SUM(C150:C152)</f>
        <v>680932</v>
      </c>
      <c r="GO51" s="5">
        <f t="shared" si="260"/>
        <v>205630</v>
      </c>
      <c r="GP51" s="25">
        <f t="shared" si="254"/>
        <v>725091.61679999996</v>
      </c>
      <c r="GQ51" s="25">
        <f t="shared" si="255"/>
        <v>43442.983200000017</v>
      </c>
      <c r="GR51" s="48">
        <f t="shared" ref="GR51:GR82" si="266">AVERAGE(GN48:GN51)</f>
        <v>407039</v>
      </c>
      <c r="GS51" s="48">
        <f t="shared" si="230"/>
        <v>87926.75</v>
      </c>
      <c r="GT51" s="48">
        <f t="shared" si="261"/>
        <v>1628156</v>
      </c>
      <c r="GU51" s="48">
        <f t="shared" si="231"/>
        <v>351707</v>
      </c>
      <c r="GV51" s="75">
        <f t="shared" si="262"/>
        <v>1628156</v>
      </c>
      <c r="GW51" s="75">
        <f t="shared" si="232"/>
        <v>351707</v>
      </c>
      <c r="GX51" s="48">
        <f t="shared" ref="GX51:GX56" si="267">GV51-GW51</f>
        <v>1276449</v>
      </c>
      <c r="GY51" s="651">
        <f t="shared" si="221"/>
        <v>989931.5</v>
      </c>
      <c r="GZ51" s="75">
        <f t="shared" si="185"/>
        <v>12681465</v>
      </c>
      <c r="HA51" s="157">
        <f t="shared" si="253"/>
        <v>0.12838863648639964</v>
      </c>
      <c r="HB51" s="4">
        <f t="shared" ref="HB51:HB56" si="268">GX51/GW51</f>
        <v>3.6292965451355816</v>
      </c>
      <c r="HC51" s="292">
        <f t="shared" si="241"/>
        <v>8.6883838910197422E-2</v>
      </c>
      <c r="HE51" s="53"/>
      <c r="HF51" s="53"/>
      <c r="HG51" s="53"/>
      <c r="HH51" s="24">
        <f t="shared" si="245"/>
        <v>35064</v>
      </c>
      <c r="HI51" s="95">
        <f t="shared" si="246"/>
        <v>909246</v>
      </c>
      <c r="HJ51" s="95">
        <f t="shared" si="247"/>
        <v>87291</v>
      </c>
      <c r="HK51" s="53"/>
    </row>
    <row r="52" spans="1:219">
      <c r="A52" s="24">
        <v>32173</v>
      </c>
      <c r="B52" s="25">
        <f t="shared" si="263"/>
        <v>941820</v>
      </c>
      <c r="C52" s="25">
        <f t="shared" si="264"/>
        <v>-79752</v>
      </c>
      <c r="D52" s="25">
        <f t="shared" si="243"/>
        <v>159704</v>
      </c>
      <c r="E52" s="25">
        <f t="shared" si="257"/>
        <v>117098.25</v>
      </c>
      <c r="F52" s="25"/>
      <c r="G52" s="25"/>
      <c r="H52" s="25">
        <f t="shared" si="133"/>
        <v>1405179</v>
      </c>
      <c r="I52" s="25">
        <f t="shared" si="250"/>
        <v>360458</v>
      </c>
      <c r="J52" s="25">
        <f t="shared" si="251"/>
        <v>1044721</v>
      </c>
      <c r="K52" s="25">
        <f>AVERAGE(C50+C51+C52)</f>
        <v>159704</v>
      </c>
      <c r="L52" s="25">
        <f t="shared" si="235"/>
        <v>126129</v>
      </c>
      <c r="M52" s="25"/>
      <c r="N52" s="25"/>
      <c r="O52" s="25"/>
      <c r="P52" s="25">
        <f t="shared" si="236"/>
        <v>347835.3593688212</v>
      </c>
      <c r="Q52" s="25">
        <f t="shared" si="237"/>
        <v>-222153.80880728277</v>
      </c>
      <c r="R52" s="25">
        <f t="shared" si="265"/>
        <v>941820</v>
      </c>
      <c r="S52" s="25">
        <f t="shared" si="238"/>
        <v>74409</v>
      </c>
      <c r="T52" s="25">
        <f t="shared" si="239"/>
        <v>1418522.2143234741</v>
      </c>
      <c r="U52" s="25">
        <f t="shared" si="240"/>
        <v>776443.85114146117</v>
      </c>
      <c r="V52" s="25"/>
      <c r="W52" s="25">
        <f t="shared" si="147"/>
        <v>15165521</v>
      </c>
      <c r="X52" s="157">
        <f t="shared" si="228"/>
        <v>0.36653682985340219</v>
      </c>
      <c r="Y52" s="25">
        <f t="shared" si="148"/>
        <v>2628184.7893000003</v>
      </c>
      <c r="Z52" s="25"/>
      <c r="AB52" s="224">
        <f t="shared" si="233"/>
        <v>2008</v>
      </c>
      <c r="AC52" s="225">
        <f>CC15</f>
        <v>26958692</v>
      </c>
      <c r="AD52" s="603">
        <f>AV15</f>
        <v>4367788</v>
      </c>
      <c r="AE52" s="59">
        <f t="shared" si="258"/>
        <v>5828272</v>
      </c>
      <c r="AF52" s="669">
        <f t="shared" si="259"/>
        <v>15427282.572999999</v>
      </c>
      <c r="AG52" s="22"/>
      <c r="AH52" s="59">
        <v>-104527</v>
      </c>
      <c r="AI52" s="59">
        <v>-69769.75</v>
      </c>
      <c r="AJ52" s="59">
        <v>-354322</v>
      </c>
      <c r="AK52" s="59">
        <v>51783.45</v>
      </c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3"/>
      <c r="BB52" s="53"/>
      <c r="BC52" s="53"/>
      <c r="BD52" s="53"/>
      <c r="BE52" s="53"/>
      <c r="BF52" s="53"/>
      <c r="BG52" s="53"/>
      <c r="BH52" s="95"/>
      <c r="BI52" s="95"/>
      <c r="BL52" s="61">
        <f>SUM(BL40:BL51)</f>
        <v>18129872.949999999</v>
      </c>
      <c r="BM52" s="61">
        <f>SUM(BM40:BM51)</f>
        <v>15846716.060000002</v>
      </c>
      <c r="BN52" s="61">
        <f>SUM(BN40:BN51)</f>
        <v>14095230</v>
      </c>
      <c r="BO52" s="61">
        <f>SUM(BO40:BO51)</f>
        <v>12675597.99</v>
      </c>
      <c r="BP52" s="61"/>
      <c r="BQ52" s="61"/>
      <c r="BR52" s="61"/>
      <c r="BS52" s="61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53"/>
      <c r="CE52" s="53"/>
      <c r="DI52" s="6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FP52" s="640"/>
      <c r="FQ52" s="640"/>
      <c r="FR52" s="640"/>
      <c r="FS52" s="640"/>
      <c r="FT52" s="640"/>
      <c r="FU52" s="640"/>
      <c r="FV52" s="640"/>
      <c r="FW52" s="640"/>
      <c r="FX52" s="640"/>
      <c r="FY52" s="640"/>
      <c r="FZ52" s="640"/>
      <c r="GA52" s="640"/>
      <c r="GB52" s="640"/>
      <c r="GC52" s="640"/>
      <c r="GD52" s="640"/>
      <c r="GE52" s="640"/>
      <c r="GF52" s="640"/>
      <c r="GG52" s="640"/>
      <c r="GH52" s="640"/>
      <c r="GI52" s="640"/>
      <c r="GJ52" s="640"/>
      <c r="GK52" s="640"/>
      <c r="GL52" s="24">
        <f>A155</f>
        <v>35308</v>
      </c>
      <c r="GM52" s="97">
        <f>SUM(B153:B155)</f>
        <v>3558997</v>
      </c>
      <c r="GN52" s="97">
        <f>SUM(C153:C155)</f>
        <v>550458</v>
      </c>
      <c r="GO52" s="5">
        <f t="shared" si="260"/>
        <v>130474</v>
      </c>
      <c r="GP52" s="25">
        <f t="shared" si="254"/>
        <v>725091.61679999996</v>
      </c>
      <c r="GQ52" s="25">
        <f t="shared" si="255"/>
        <v>43442.983200000017</v>
      </c>
      <c r="GR52" s="48">
        <f t="shared" si="266"/>
        <v>436079.75</v>
      </c>
      <c r="GS52" s="48">
        <f t="shared" si="230"/>
        <v>337409.75</v>
      </c>
      <c r="GT52" s="48">
        <f t="shared" si="261"/>
        <v>1744319</v>
      </c>
      <c r="GU52" s="48">
        <f t="shared" si="231"/>
        <v>1349639</v>
      </c>
      <c r="GV52" s="75">
        <f t="shared" si="262"/>
        <v>1744319</v>
      </c>
      <c r="GW52" s="75">
        <f t="shared" si="232"/>
        <v>1349639</v>
      </c>
      <c r="GX52" s="48">
        <f t="shared" si="267"/>
        <v>394680</v>
      </c>
      <c r="GY52" s="651">
        <f t="shared" si="221"/>
        <v>1546979</v>
      </c>
      <c r="GZ52" s="75">
        <f t="shared" ref="GZ52:GZ83" si="269">SUM(GM49:GM52)</f>
        <v>13241215</v>
      </c>
      <c r="HA52" s="157">
        <f t="shared" si="253"/>
        <v>0.1317340591478954</v>
      </c>
      <c r="HB52" s="4">
        <f t="shared" si="268"/>
        <v>0.29243375450768688</v>
      </c>
      <c r="HC52" s="292">
        <f t="shared" si="241"/>
        <v>0.11147919185417589</v>
      </c>
      <c r="HE52" s="53"/>
      <c r="HF52" s="53"/>
      <c r="HG52" s="53"/>
      <c r="HH52" s="24">
        <f t="shared" si="245"/>
        <v>35095</v>
      </c>
      <c r="HI52" s="95">
        <f t="shared" si="246"/>
        <v>942247</v>
      </c>
      <c r="HJ52" s="95">
        <f t="shared" si="247"/>
        <v>110829</v>
      </c>
      <c r="HK52" s="53"/>
    </row>
    <row r="53" spans="1:219">
      <c r="A53" s="24">
        <v>32202</v>
      </c>
      <c r="B53" s="25">
        <f t="shared" si="263"/>
        <v>1376812</v>
      </c>
      <c r="C53" s="25">
        <f t="shared" si="264"/>
        <v>66604</v>
      </c>
      <c r="D53" s="25">
        <f t="shared" si="243"/>
        <v>33229</v>
      </c>
      <c r="E53" s="25">
        <f t="shared" si="257"/>
        <v>127702.25</v>
      </c>
      <c r="F53" s="25"/>
      <c r="G53" s="25"/>
      <c r="H53" s="25">
        <f t="shared" si="133"/>
        <v>1532427</v>
      </c>
      <c r="I53" s="25">
        <f t="shared" si="250"/>
        <v>48336</v>
      </c>
      <c r="J53" s="25">
        <f t="shared" si="251"/>
        <v>1484091</v>
      </c>
      <c r="K53" s="25"/>
      <c r="L53" s="25">
        <f t="shared" si="235"/>
        <v>146356</v>
      </c>
      <c r="M53" s="25"/>
      <c r="N53" s="25"/>
      <c r="O53" s="25"/>
      <c r="P53" s="25">
        <f t="shared" si="236"/>
        <v>347835.3593688212</v>
      </c>
      <c r="Q53" s="25">
        <f t="shared" si="237"/>
        <v>-222153.80880728277</v>
      </c>
      <c r="R53" s="25">
        <f t="shared" si="265"/>
        <v>1376812</v>
      </c>
      <c r="S53" s="25">
        <f t="shared" si="238"/>
        <v>434992</v>
      </c>
      <c r="T53" s="25">
        <f t="shared" si="239"/>
        <v>1418522.2143234741</v>
      </c>
      <c r="U53" s="25">
        <f t="shared" si="240"/>
        <v>776443.85114146117</v>
      </c>
      <c r="V53" s="25"/>
      <c r="W53" s="25">
        <f t="shared" si="147"/>
        <v>15466279</v>
      </c>
      <c r="X53" s="157">
        <f t="shared" si="228"/>
        <v>0.38146653076744502</v>
      </c>
      <c r="Y53" s="25">
        <f t="shared" si="148"/>
        <v>2680306.1507000001</v>
      </c>
      <c r="Z53" s="25"/>
      <c r="AB53" s="224">
        <f t="shared" si="233"/>
        <v>2009</v>
      </c>
      <c r="AC53" s="225">
        <f>CD15</f>
        <v>21069013</v>
      </c>
      <c r="AD53" s="603">
        <f>AW15</f>
        <v>545774</v>
      </c>
      <c r="AE53" s="59">
        <f t="shared" si="258"/>
        <v>6627140</v>
      </c>
      <c r="AF53" s="669">
        <f t="shared" si="259"/>
        <v>15973056.572999999</v>
      </c>
      <c r="AG53" s="22"/>
      <c r="AH53" s="59">
        <v>151657</v>
      </c>
      <c r="AI53" s="59">
        <v>325650.57</v>
      </c>
      <c r="AJ53" s="59">
        <v>40260</v>
      </c>
      <c r="AK53" s="59">
        <v>38814.18</v>
      </c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3"/>
      <c r="BB53" s="53"/>
      <c r="BC53" s="53"/>
      <c r="BD53" s="53"/>
      <c r="BE53" s="53"/>
      <c r="BF53" s="53"/>
      <c r="BG53" s="53"/>
      <c r="BH53" s="95"/>
      <c r="BI53" s="95"/>
      <c r="BN53" s="6"/>
      <c r="BO53" s="6"/>
      <c r="BP53" s="6"/>
      <c r="BQ53" s="6"/>
      <c r="BR53" s="6"/>
      <c r="BS53" s="6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88"/>
      <c r="CE53" s="88"/>
      <c r="DI53" s="6"/>
      <c r="DU53" s="55"/>
      <c r="FP53" s="640"/>
      <c r="FQ53" s="640"/>
      <c r="FR53" s="640"/>
      <c r="FS53" s="640"/>
      <c r="FT53" s="640"/>
      <c r="FU53" s="640"/>
      <c r="FV53" s="640"/>
      <c r="FW53" s="640"/>
      <c r="FX53" s="640"/>
      <c r="FY53" s="640"/>
      <c r="FZ53" s="640"/>
      <c r="GA53" s="640"/>
      <c r="GB53" s="640"/>
      <c r="GC53" s="640"/>
      <c r="GD53" s="640"/>
      <c r="GE53" s="640"/>
      <c r="GF53" s="640"/>
      <c r="GG53" s="640"/>
      <c r="GH53" s="640"/>
      <c r="GI53" s="640"/>
      <c r="GJ53" s="640"/>
      <c r="GK53" s="640"/>
      <c r="GL53" s="563">
        <f>A158</f>
        <v>35399</v>
      </c>
      <c r="GM53" s="215">
        <f>SUM(B156:B158)</f>
        <v>3343837</v>
      </c>
      <c r="GN53" s="215">
        <f>SUM(C156:C158)</f>
        <v>154006</v>
      </c>
      <c r="GO53" s="564">
        <f t="shared" si="260"/>
        <v>396452</v>
      </c>
      <c r="GP53" s="121">
        <f t="shared" si="254"/>
        <v>725091.61679999996</v>
      </c>
      <c r="GQ53" s="121">
        <f t="shared" si="255"/>
        <v>43442.983200000017</v>
      </c>
      <c r="GR53" s="565">
        <f t="shared" si="266"/>
        <v>465174.5</v>
      </c>
      <c r="GS53" s="565">
        <f t="shared" si="230"/>
        <v>280476.25</v>
      </c>
      <c r="GT53" s="565">
        <f t="shared" si="261"/>
        <v>1860698</v>
      </c>
      <c r="GU53" s="565">
        <f t="shared" si="231"/>
        <v>1121905</v>
      </c>
      <c r="GV53" s="566">
        <f t="shared" si="262"/>
        <v>1860698</v>
      </c>
      <c r="GW53" s="566">
        <f t="shared" si="232"/>
        <v>1121905</v>
      </c>
      <c r="GX53" s="565">
        <f t="shared" si="267"/>
        <v>738793</v>
      </c>
      <c r="GY53" s="652">
        <f t="shared" si="221"/>
        <v>1491301.5</v>
      </c>
      <c r="GZ53" s="566">
        <f t="shared" si="269"/>
        <v>13489594</v>
      </c>
      <c r="HA53" s="567">
        <f t="shared" si="253"/>
        <v>0.13793580444303957</v>
      </c>
      <c r="HB53" s="568">
        <f t="shared" si="268"/>
        <v>0.65851654106185464</v>
      </c>
      <c r="HC53" s="569">
        <f t="shared" si="241"/>
        <v>0.12983340779234964</v>
      </c>
      <c r="HE53" s="53"/>
      <c r="HF53" s="53"/>
      <c r="HG53" s="53"/>
      <c r="HH53" s="24">
        <f t="shared" si="245"/>
        <v>35124</v>
      </c>
      <c r="HI53" s="95">
        <f t="shared" si="246"/>
        <v>1173800</v>
      </c>
      <c r="HJ53" s="95">
        <f t="shared" si="247"/>
        <v>277182</v>
      </c>
      <c r="HK53" s="53"/>
    </row>
    <row r="54" spans="1:219">
      <c r="A54" s="24">
        <v>32233</v>
      </c>
      <c r="B54" s="25">
        <f t="shared" si="263"/>
        <v>1265885</v>
      </c>
      <c r="C54" s="25">
        <f t="shared" si="264"/>
        <v>26755</v>
      </c>
      <c r="D54" s="25">
        <f t="shared" si="243"/>
        <v>13607</v>
      </c>
      <c r="E54" s="25">
        <f t="shared" si="257"/>
        <v>123820.08333333333</v>
      </c>
      <c r="F54" s="25"/>
      <c r="G54" s="25"/>
      <c r="H54" s="25">
        <f t="shared" si="133"/>
        <v>1485841</v>
      </c>
      <c r="I54" s="25">
        <f t="shared" si="250"/>
        <v>83877</v>
      </c>
      <c r="J54" s="25">
        <f t="shared" si="251"/>
        <v>1401964</v>
      </c>
      <c r="K54" s="25"/>
      <c r="L54" s="25">
        <f t="shared" si="235"/>
        <v>39849</v>
      </c>
      <c r="M54" s="25"/>
      <c r="N54" s="25"/>
      <c r="O54" s="25"/>
      <c r="P54" s="25">
        <f t="shared" si="236"/>
        <v>347835.3593688212</v>
      </c>
      <c r="Q54" s="25">
        <f t="shared" si="237"/>
        <v>-222153.80880728277</v>
      </c>
      <c r="R54" s="25">
        <f t="shared" si="265"/>
        <v>1265885</v>
      </c>
      <c r="S54" s="25">
        <f t="shared" si="238"/>
        <v>110927</v>
      </c>
      <c r="T54" s="25">
        <f t="shared" si="239"/>
        <v>1418522.2143234741</v>
      </c>
      <c r="U54" s="25">
        <f t="shared" si="240"/>
        <v>776443.85114146117</v>
      </c>
      <c r="V54" s="25"/>
      <c r="W54" s="25">
        <f t="shared" si="147"/>
        <v>15717652</v>
      </c>
      <c r="X54" s="157">
        <f t="shared" si="228"/>
        <v>0.38700895019152759</v>
      </c>
      <c r="Y54" s="25">
        <f t="shared" si="148"/>
        <v>2723869.0915999999</v>
      </c>
      <c r="Z54" s="25"/>
      <c r="AB54" s="224">
        <f t="shared" si="233"/>
        <v>2010</v>
      </c>
      <c r="AC54" s="225">
        <f>CE15</f>
        <v>23536046</v>
      </c>
      <c r="AD54" s="603">
        <f>AX15</f>
        <v>1937153</v>
      </c>
      <c r="AE54" s="59">
        <f t="shared" si="258"/>
        <v>8398591</v>
      </c>
      <c r="AF54" s="669">
        <f t="shared" si="259"/>
        <v>17910209.572999999</v>
      </c>
      <c r="AG54" s="22"/>
      <c r="AH54" s="59">
        <v>269337</v>
      </c>
      <c r="AI54" s="59">
        <v>67498.92</v>
      </c>
      <c r="AJ54" s="59">
        <v>86687</v>
      </c>
      <c r="AK54" s="59">
        <v>70627.990000000005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3"/>
      <c r="BB54" s="53"/>
      <c r="BC54" s="53"/>
      <c r="BD54" s="53"/>
      <c r="BE54" s="53"/>
      <c r="BF54" s="53"/>
      <c r="BG54" s="53"/>
      <c r="BH54" s="95"/>
      <c r="BI54" s="95"/>
      <c r="BK54" s="53">
        <v>1993</v>
      </c>
      <c r="BL54" s="53">
        <v>1994</v>
      </c>
      <c r="BM54" s="53">
        <v>1995</v>
      </c>
      <c r="BN54" s="53">
        <v>1996</v>
      </c>
      <c r="BO54" s="53">
        <v>1997</v>
      </c>
      <c r="BP54" s="53"/>
      <c r="BQ54" s="53"/>
      <c r="BR54" s="53"/>
      <c r="BS54" s="53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6"/>
      <c r="CE54" s="6"/>
      <c r="CG54"/>
      <c r="DI54" s="6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FP54" s="640"/>
      <c r="FQ54" s="640"/>
      <c r="FR54" s="640"/>
      <c r="FS54" s="640"/>
      <c r="FT54" s="640"/>
      <c r="FU54" s="640"/>
      <c r="FV54" s="640"/>
      <c r="FW54" s="640"/>
      <c r="FX54" s="640"/>
      <c r="FY54" s="640"/>
      <c r="FZ54" s="640"/>
      <c r="GA54" s="640"/>
      <c r="GB54" s="640"/>
      <c r="GC54" s="640"/>
      <c r="GD54" s="640"/>
      <c r="GE54" s="640"/>
      <c r="GF54" s="640"/>
      <c r="GG54" s="640"/>
      <c r="GH54" s="640"/>
      <c r="GI54" s="640"/>
      <c r="GJ54" s="640"/>
      <c r="GK54" s="640"/>
      <c r="GL54" s="24">
        <f>A161</f>
        <v>35489</v>
      </c>
      <c r="GM54" s="97">
        <f>SUM(B159:B161)</f>
        <v>3457649</v>
      </c>
      <c r="GN54" s="97">
        <f>SUM(C159:C161)</f>
        <v>594709</v>
      </c>
      <c r="GO54" s="5">
        <f t="shared" ref="GO54:GO69" si="270">((GN54-GN53)^2)^0.5</f>
        <v>440703</v>
      </c>
      <c r="GP54" s="25">
        <f t="shared" si="254"/>
        <v>725091.61679999996</v>
      </c>
      <c r="GQ54" s="25">
        <f t="shared" si="255"/>
        <v>43442.983200000017</v>
      </c>
      <c r="GR54" s="48">
        <f t="shared" si="266"/>
        <v>495026.25</v>
      </c>
      <c r="GS54" s="48">
        <f t="shared" si="230"/>
        <v>297673.75</v>
      </c>
      <c r="GT54" s="48">
        <f t="shared" ref="GT54:GT93" si="271">SUM(GN51:GN54)</f>
        <v>1980105</v>
      </c>
      <c r="GU54" s="48">
        <f t="shared" ref="GU54:GU61" si="272">GT50</f>
        <v>1190695</v>
      </c>
      <c r="GV54" s="75">
        <f t="shared" si="262"/>
        <v>1980105</v>
      </c>
      <c r="GW54" s="75">
        <f t="shared" ref="GW54:GW61" si="273">GV50</f>
        <v>1190695</v>
      </c>
      <c r="GX54" s="48">
        <f t="shared" si="267"/>
        <v>789410</v>
      </c>
      <c r="GY54" s="651">
        <f t="shared" si="221"/>
        <v>1585400</v>
      </c>
      <c r="GZ54" s="75">
        <f t="shared" si="269"/>
        <v>13921950</v>
      </c>
      <c r="HA54" s="157">
        <f t="shared" si="253"/>
        <v>0.14222899809293957</v>
      </c>
      <c r="HB54" s="4">
        <f t="shared" si="268"/>
        <v>0.66298254380844801</v>
      </c>
      <c r="HC54" s="292">
        <f t="shared" ref="HC54:HC61" si="274">(GZ54-GZ50)/GZ50</f>
        <v>0.15771855612801378</v>
      </c>
      <c r="HE54" s="53"/>
      <c r="HF54" s="53"/>
      <c r="HG54" s="53"/>
      <c r="HH54" s="24">
        <f t="shared" si="245"/>
        <v>35155</v>
      </c>
      <c r="HI54" s="95">
        <f t="shared" si="246"/>
        <v>879252</v>
      </c>
      <c r="HJ54" s="95">
        <f t="shared" si="247"/>
        <v>-26536</v>
      </c>
      <c r="HK54" s="53"/>
    </row>
    <row r="55" spans="1:219">
      <c r="A55" s="24">
        <v>32263</v>
      </c>
      <c r="B55" s="25">
        <f t="shared" si="263"/>
        <v>1408267</v>
      </c>
      <c r="C55" s="25">
        <f t="shared" si="264"/>
        <v>158737</v>
      </c>
      <c r="D55" s="25">
        <f t="shared" si="243"/>
        <v>252096</v>
      </c>
      <c r="E55" s="25">
        <f t="shared" si="257"/>
        <v>121706.58333333333</v>
      </c>
      <c r="F55" s="25"/>
      <c r="G55" s="25"/>
      <c r="H55" s="25">
        <f t="shared" si="133"/>
        <v>1460479</v>
      </c>
      <c r="I55" s="25">
        <f t="shared" si="250"/>
        <v>251473</v>
      </c>
      <c r="J55" s="25">
        <f t="shared" si="251"/>
        <v>1209006</v>
      </c>
      <c r="K55" s="25"/>
      <c r="L55" s="25">
        <f t="shared" si="235"/>
        <v>131982</v>
      </c>
      <c r="M55" s="25"/>
      <c r="N55" s="25"/>
      <c r="O55" s="25"/>
      <c r="P55" s="25">
        <f t="shared" si="236"/>
        <v>347835.3593688212</v>
      </c>
      <c r="Q55" s="25">
        <f t="shared" si="237"/>
        <v>-222153.80880728277</v>
      </c>
      <c r="R55" s="25">
        <f t="shared" si="265"/>
        <v>1408267</v>
      </c>
      <c r="S55" s="25">
        <f t="shared" si="238"/>
        <v>142382</v>
      </c>
      <c r="T55" s="25">
        <f t="shared" si="239"/>
        <v>1418522.2143234741</v>
      </c>
      <c r="U55" s="25">
        <f t="shared" si="240"/>
        <v>776443.85114146117</v>
      </c>
      <c r="V55" s="25"/>
      <c r="W55" s="25">
        <f t="shared" si="147"/>
        <v>15881023</v>
      </c>
      <c r="X55" s="157">
        <f t="shared" si="228"/>
        <v>0.35074046088242239</v>
      </c>
      <c r="Y55" s="25">
        <f t="shared" si="148"/>
        <v>2752181.2859</v>
      </c>
      <c r="Z55" s="25"/>
      <c r="AB55" s="224">
        <f>AB54+1</f>
        <v>2011</v>
      </c>
      <c r="AC55" s="225">
        <f>CF15</f>
        <v>24985368</v>
      </c>
      <c r="AD55" s="603">
        <f>AY15</f>
        <v>1945713</v>
      </c>
      <c r="AE55" s="59">
        <f t="shared" ref="AE55:AE58" si="275">SUM(AD51:AD55)</f>
        <v>10267900</v>
      </c>
      <c r="AF55" s="669">
        <f t="shared" ref="AF55:AF58" si="276">AF54+AD55</f>
        <v>19855922.572999999</v>
      </c>
      <c r="AG55" s="22"/>
      <c r="AH55" s="59">
        <v>93707</v>
      </c>
      <c r="AI55" s="59">
        <v>4932.53</v>
      </c>
      <c r="AJ55" s="59">
        <v>-294313</v>
      </c>
      <c r="AK55" s="59">
        <v>159715.26</v>
      </c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3"/>
      <c r="BB55" s="53"/>
      <c r="BC55" s="53"/>
      <c r="BD55" s="53"/>
      <c r="BE55" s="53"/>
      <c r="BF55" s="53"/>
      <c r="BG55" s="53"/>
      <c r="BK55" s="52" t="s">
        <v>1197</v>
      </c>
      <c r="BL55" s="52" t="s">
        <v>1197</v>
      </c>
      <c r="BM55" s="52" t="s">
        <v>1197</v>
      </c>
      <c r="BN55" s="52" t="s">
        <v>1197</v>
      </c>
      <c r="BO55" s="52" t="s">
        <v>1197</v>
      </c>
      <c r="BP55" s="88"/>
      <c r="BQ55" s="88"/>
      <c r="BR55" s="88"/>
      <c r="BS55" s="88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6"/>
      <c r="CE55" s="6"/>
      <c r="CG55"/>
      <c r="DI55" s="6"/>
      <c r="DJ55" s="58"/>
      <c r="DK55" s="58"/>
      <c r="DL55" s="58"/>
      <c r="DM55" s="58"/>
      <c r="DN55" s="58"/>
      <c r="DO55" s="58"/>
      <c r="DP55" s="58"/>
      <c r="DQ55" s="58"/>
      <c r="DR55" s="58"/>
      <c r="DS55" s="58"/>
      <c r="DT55" s="58"/>
      <c r="DU55" s="58"/>
      <c r="FP55" s="640"/>
      <c r="FQ55" s="640"/>
      <c r="FR55" s="640"/>
      <c r="FS55" s="640"/>
      <c r="FT55" s="640"/>
      <c r="FU55" s="640"/>
      <c r="FV55" s="640"/>
      <c r="FW55" s="640"/>
      <c r="FX55" s="640"/>
      <c r="FY55" s="640"/>
      <c r="FZ55" s="640"/>
      <c r="GA55" s="640"/>
      <c r="GB55" s="640"/>
      <c r="GC55" s="640"/>
      <c r="GD55" s="640"/>
      <c r="GE55" s="640"/>
      <c r="GF55" s="640"/>
      <c r="GG55" s="640"/>
      <c r="GH55" s="640"/>
      <c r="GI55" s="640"/>
      <c r="GJ55" s="640"/>
      <c r="GK55" s="640"/>
      <c r="GL55" s="24">
        <f>A164</f>
        <v>35581</v>
      </c>
      <c r="GM55" s="97">
        <f>SUM(B162:B164)</f>
        <v>4739374</v>
      </c>
      <c r="GN55" s="97">
        <f>SUM(C162:C164)</f>
        <v>1240710</v>
      </c>
      <c r="GO55" s="5">
        <f t="shared" si="270"/>
        <v>646001</v>
      </c>
      <c r="GP55" s="25">
        <f t="shared" si="254"/>
        <v>725091.61679999996</v>
      </c>
      <c r="GQ55" s="25">
        <f t="shared" si="255"/>
        <v>43442.983200000017</v>
      </c>
      <c r="GR55" s="48">
        <f t="shared" si="266"/>
        <v>634970.75</v>
      </c>
      <c r="GS55" s="48">
        <f t="shared" si="230"/>
        <v>407039</v>
      </c>
      <c r="GT55" s="48">
        <f t="shared" si="271"/>
        <v>2539883</v>
      </c>
      <c r="GU55" s="48">
        <f t="shared" si="272"/>
        <v>1628156</v>
      </c>
      <c r="GV55" s="75">
        <f t="shared" si="262"/>
        <v>2539883</v>
      </c>
      <c r="GW55" s="75">
        <f t="shared" si="273"/>
        <v>1628156</v>
      </c>
      <c r="GX55" s="48">
        <f t="shared" si="267"/>
        <v>911727</v>
      </c>
      <c r="GY55" s="651">
        <f t="shared" si="221"/>
        <v>2084019.5</v>
      </c>
      <c r="GZ55" s="75">
        <f t="shared" si="269"/>
        <v>15099857</v>
      </c>
      <c r="HA55" s="157">
        <f t="shared" si="253"/>
        <v>0.16820576512744459</v>
      </c>
      <c r="HB55" s="4">
        <f t="shared" si="268"/>
        <v>0.55997521122054639</v>
      </c>
      <c r="HC55" s="292">
        <f t="shared" si="274"/>
        <v>0.1907028880338352</v>
      </c>
      <c r="HH55" s="24">
        <f t="shared" si="245"/>
        <v>35185</v>
      </c>
      <c r="HI55" s="95">
        <f t="shared" si="246"/>
        <v>1418552</v>
      </c>
      <c r="HJ55" s="95">
        <f t="shared" si="247"/>
        <v>457698</v>
      </c>
      <c r="HK55" s="53"/>
    </row>
    <row r="56" spans="1:219">
      <c r="A56" s="24">
        <v>32294</v>
      </c>
      <c r="B56" s="25">
        <f t="shared" si="263"/>
        <v>1635371</v>
      </c>
      <c r="C56" s="25">
        <f t="shared" si="264"/>
        <v>113724</v>
      </c>
      <c r="D56" s="25">
        <f t="shared" si="243"/>
        <v>299216</v>
      </c>
      <c r="E56" s="25">
        <f t="shared" si="257"/>
        <v>122691.33333333333</v>
      </c>
      <c r="F56" s="25"/>
      <c r="G56" s="25"/>
      <c r="H56" s="25">
        <f t="shared" si="133"/>
        <v>1472296</v>
      </c>
      <c r="I56" s="25">
        <f t="shared" si="250"/>
        <v>217826</v>
      </c>
      <c r="J56" s="25">
        <f t="shared" si="251"/>
        <v>1254470</v>
      </c>
      <c r="K56" s="25"/>
      <c r="L56" s="25">
        <f t="shared" si="235"/>
        <v>45013</v>
      </c>
      <c r="M56" s="25"/>
      <c r="N56" s="25"/>
      <c r="O56" s="25"/>
      <c r="P56" s="25">
        <f t="shared" si="236"/>
        <v>347835.3593688212</v>
      </c>
      <c r="Q56" s="25">
        <f t="shared" si="237"/>
        <v>-222153.80880728277</v>
      </c>
      <c r="R56" s="25">
        <f t="shared" si="265"/>
        <v>1635371</v>
      </c>
      <c r="S56" s="25">
        <f t="shared" si="238"/>
        <v>227104</v>
      </c>
      <c r="T56" s="25">
        <f t="shared" si="239"/>
        <v>1418522.2143234741</v>
      </c>
      <c r="U56" s="25">
        <f t="shared" si="240"/>
        <v>776443.85114146117</v>
      </c>
      <c r="V56" s="25"/>
      <c r="W56" s="25">
        <f t="shared" si="147"/>
        <v>16515969</v>
      </c>
      <c r="X56" s="157">
        <f t="shared" si="228"/>
        <v>0.41284659439258986</v>
      </c>
      <c r="Y56" s="25">
        <f t="shared" si="148"/>
        <v>2862217.4277000003</v>
      </c>
      <c r="Z56" s="25"/>
      <c r="AB56" s="224">
        <f t="shared" ref="AB56:AB58" si="277">AB55+1</f>
        <v>2012</v>
      </c>
      <c r="AC56" s="225">
        <f>CG15</f>
        <v>21872689</v>
      </c>
      <c r="AD56" s="603">
        <f>AZ15</f>
        <v>57398</v>
      </c>
      <c r="AE56" s="59">
        <f t="shared" si="275"/>
        <v>8853826</v>
      </c>
      <c r="AF56" s="669">
        <f t="shared" si="276"/>
        <v>19913320.572999999</v>
      </c>
      <c r="AG56" s="22"/>
      <c r="AH56" s="59">
        <v>286205</v>
      </c>
      <c r="AI56" s="59">
        <v>270072.15999999997</v>
      </c>
      <c r="AJ56" s="59">
        <v>203722</v>
      </c>
      <c r="AK56" s="59">
        <v>43426.35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3"/>
      <c r="BB56" s="53"/>
      <c r="BC56" s="53"/>
      <c r="BD56" s="53"/>
      <c r="BE56" s="53"/>
      <c r="BF56" s="53"/>
      <c r="BG56" s="53"/>
      <c r="BJ56" s="22" t="s">
        <v>387</v>
      </c>
      <c r="BK56" s="1">
        <v>29091</v>
      </c>
      <c r="BL56" s="1">
        <v>50381</v>
      </c>
      <c r="BM56" s="1">
        <f t="shared" ref="BM56:BM67" si="278">BM72*1.55</f>
        <v>53539.511000000006</v>
      </c>
      <c r="BN56" s="1">
        <f t="shared" ref="BN56:BN67" si="279">$AJ$60*BN72</f>
        <v>88506.04800000001</v>
      </c>
      <c r="BO56" s="1">
        <f t="shared" ref="BO56:BO67" si="280">$AK$60*BO72</f>
        <v>53922.877999999997</v>
      </c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6"/>
      <c r="CE56" s="6"/>
      <c r="CG56"/>
      <c r="DI56" s="6"/>
      <c r="DJ56" s="58"/>
      <c r="DK56" s="58"/>
      <c r="DL56" s="58"/>
      <c r="DM56" s="58"/>
      <c r="DN56" s="58"/>
      <c r="DO56" s="58"/>
      <c r="DP56" s="58"/>
      <c r="DQ56" s="58"/>
      <c r="DR56" s="58"/>
      <c r="DS56" s="58"/>
      <c r="DT56" s="58"/>
      <c r="DU56" s="58"/>
      <c r="FP56" s="640"/>
      <c r="FQ56" s="640"/>
      <c r="FR56" s="640"/>
      <c r="FS56" s="640"/>
      <c r="FT56" s="640"/>
      <c r="FU56" s="640"/>
      <c r="FV56" s="640"/>
      <c r="FW56" s="640"/>
      <c r="FX56" s="640"/>
      <c r="FY56" s="640"/>
      <c r="FZ56" s="640"/>
      <c r="GA56" s="640"/>
      <c r="GB56" s="640"/>
      <c r="GC56" s="640"/>
      <c r="GD56" s="640"/>
      <c r="GE56" s="640"/>
      <c r="GF56" s="640"/>
      <c r="GG56" s="640"/>
      <c r="GH56" s="640"/>
      <c r="GI56" s="640"/>
      <c r="GJ56" s="640"/>
      <c r="GK56" s="640"/>
      <c r="GL56" s="24">
        <f>A167</f>
        <v>35673</v>
      </c>
      <c r="GM56" s="97">
        <f>SUM(B165:B167)</f>
        <v>3799573</v>
      </c>
      <c r="GN56" s="97">
        <f>SUM(C165:C167)</f>
        <v>335333</v>
      </c>
      <c r="GO56" s="5">
        <f t="shared" si="270"/>
        <v>905377</v>
      </c>
      <c r="GP56" s="25">
        <f t="shared" si="254"/>
        <v>725091.61679999996</v>
      </c>
      <c r="GQ56" s="25">
        <f t="shared" si="255"/>
        <v>43442.983200000017</v>
      </c>
      <c r="GR56" s="48">
        <f t="shared" si="266"/>
        <v>581189.5</v>
      </c>
      <c r="GS56" s="48">
        <f t="shared" ref="GS56:GS61" si="281">GR52</f>
        <v>436079.75</v>
      </c>
      <c r="GT56" s="48">
        <f t="shared" si="271"/>
        <v>2324758</v>
      </c>
      <c r="GU56" s="48">
        <f t="shared" si="272"/>
        <v>1744319</v>
      </c>
      <c r="GV56" s="75">
        <f t="shared" ref="GV56:GV93" si="282">SUM(GN53:GN56)</f>
        <v>2324758</v>
      </c>
      <c r="GW56" s="75">
        <f t="shared" si="273"/>
        <v>1744319</v>
      </c>
      <c r="GX56" s="48">
        <f t="shared" si="267"/>
        <v>580439</v>
      </c>
      <c r="GY56" s="651">
        <f t="shared" si="221"/>
        <v>2034538.5</v>
      </c>
      <c r="GZ56" s="75">
        <f t="shared" si="269"/>
        <v>15340433</v>
      </c>
      <c r="HA56" s="157">
        <f t="shared" si="253"/>
        <v>0.15154448378347599</v>
      </c>
      <c r="HB56" s="4">
        <f t="shared" si="268"/>
        <v>0.33275966150686886</v>
      </c>
      <c r="HC56" s="292">
        <f t="shared" si="274"/>
        <v>0.15853665996662694</v>
      </c>
      <c r="HH56" s="24">
        <f t="shared" si="245"/>
        <v>35216</v>
      </c>
      <c r="HI56" s="95">
        <f t="shared" si="246"/>
        <v>1263663</v>
      </c>
      <c r="HJ56" s="95">
        <f t="shared" si="247"/>
        <v>249770</v>
      </c>
      <c r="HK56" s="53"/>
    </row>
    <row r="57" spans="1:219">
      <c r="A57" s="24">
        <v>32324</v>
      </c>
      <c r="B57" s="25">
        <f t="shared" si="263"/>
        <v>1448492</v>
      </c>
      <c r="C57" s="25">
        <f t="shared" si="264"/>
        <v>305512</v>
      </c>
      <c r="D57" s="25">
        <f t="shared" si="243"/>
        <v>577973</v>
      </c>
      <c r="E57" s="25">
        <f t="shared" si="257"/>
        <v>136044.58333333334</v>
      </c>
      <c r="F57" s="25"/>
      <c r="G57" s="25"/>
      <c r="H57" s="25">
        <f t="shared" si="133"/>
        <v>1632535</v>
      </c>
      <c r="I57" s="25">
        <f t="shared" si="250"/>
        <v>241138</v>
      </c>
      <c r="J57" s="25">
        <f t="shared" si="251"/>
        <v>1391397</v>
      </c>
      <c r="K57" s="25"/>
      <c r="L57" s="25">
        <f t="shared" si="235"/>
        <v>191788</v>
      </c>
      <c r="M57" s="25"/>
      <c r="N57" s="25"/>
      <c r="O57" s="25"/>
      <c r="P57" s="25">
        <f t="shared" si="236"/>
        <v>347835.3593688212</v>
      </c>
      <c r="Q57" s="25">
        <f t="shared" si="237"/>
        <v>-222153.80880728277</v>
      </c>
      <c r="R57" s="25">
        <f t="shared" si="265"/>
        <v>1448492</v>
      </c>
      <c r="S57" s="25">
        <f t="shared" si="238"/>
        <v>186879</v>
      </c>
      <c r="T57" s="25">
        <f t="shared" si="239"/>
        <v>1418522.2143234741</v>
      </c>
      <c r="U57" s="25">
        <f t="shared" si="240"/>
        <v>776443.85114146117</v>
      </c>
      <c r="V57" s="25"/>
      <c r="W57" s="25">
        <f t="shared" si="147"/>
        <v>16948025</v>
      </c>
      <c r="X57" s="157">
        <f t="shared" si="228"/>
        <v>0.44370631267916927</v>
      </c>
      <c r="Y57" s="25">
        <f t="shared" si="148"/>
        <v>2937092.7325000004</v>
      </c>
      <c r="Z57" s="25"/>
      <c r="AB57" s="224">
        <f t="shared" si="277"/>
        <v>2013</v>
      </c>
      <c r="AC57" s="225">
        <f>CH15</f>
        <v>18697398</v>
      </c>
      <c r="AD57" s="603">
        <f>BA15</f>
        <v>573127</v>
      </c>
      <c r="AE57" s="59">
        <f t="shared" si="275"/>
        <v>5059165</v>
      </c>
      <c r="AF57" s="669">
        <f t="shared" si="276"/>
        <v>20486447.572999999</v>
      </c>
      <c r="AG57" s="22"/>
      <c r="AH57" s="101">
        <v>43518</v>
      </c>
      <c r="AI57" s="101">
        <v>-123396.05</v>
      </c>
      <c r="AJ57" s="101">
        <v>188982</v>
      </c>
      <c r="AK57" s="101">
        <v>50042.01</v>
      </c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3"/>
      <c r="BB57" s="53"/>
      <c r="BC57" s="53"/>
      <c r="BD57" s="53"/>
      <c r="BE57" s="53"/>
      <c r="BF57" s="53"/>
      <c r="BG57" s="53"/>
      <c r="BJ57" s="22" t="s">
        <v>496</v>
      </c>
      <c r="BK57" s="1">
        <v>25275</v>
      </c>
      <c r="BL57" s="1">
        <v>63102</v>
      </c>
      <c r="BM57" s="1">
        <f t="shared" si="278"/>
        <v>88668.649000000005</v>
      </c>
      <c r="BN57" s="1">
        <f t="shared" si="279"/>
        <v>77016.335999999996</v>
      </c>
      <c r="BO57" s="1">
        <f t="shared" si="280"/>
        <v>61852.119999999995</v>
      </c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6"/>
      <c r="CE57" s="6"/>
      <c r="CG57"/>
      <c r="DI57" s="6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FP57" s="640"/>
      <c r="FQ57" s="640"/>
      <c r="FR57" s="640"/>
      <c r="FS57" s="640"/>
      <c r="FT57" s="640"/>
      <c r="FU57" s="640"/>
      <c r="FV57" s="640"/>
      <c r="FW57" s="640"/>
      <c r="FX57" s="640"/>
      <c r="FY57" s="640"/>
      <c r="FZ57" s="640"/>
      <c r="GA57" s="640"/>
      <c r="GB57" s="640"/>
      <c r="GC57" s="640"/>
      <c r="GD57" s="640"/>
      <c r="GE57" s="640"/>
      <c r="GF57" s="640"/>
      <c r="GG57" s="640"/>
      <c r="GH57" s="640"/>
      <c r="GI57" s="640"/>
      <c r="GJ57" s="640"/>
      <c r="GK57" s="640"/>
      <c r="GL57" s="563">
        <f>A170</f>
        <v>35764</v>
      </c>
      <c r="GM57" s="215">
        <f>SUM(B168:B170)</f>
        <v>4243822</v>
      </c>
      <c r="GN57" s="215">
        <f>SUM(C168:C170)</f>
        <v>468965</v>
      </c>
      <c r="GO57" s="564">
        <f t="shared" si="270"/>
        <v>133632</v>
      </c>
      <c r="GP57" s="121">
        <f t="shared" si="254"/>
        <v>725091.61679999996</v>
      </c>
      <c r="GQ57" s="121">
        <f t="shared" si="255"/>
        <v>43442.983200000017</v>
      </c>
      <c r="GR57" s="565">
        <f t="shared" si="266"/>
        <v>659929.25</v>
      </c>
      <c r="GS57" s="565">
        <f t="shared" si="281"/>
        <v>465174.5</v>
      </c>
      <c r="GT57" s="565">
        <f t="shared" si="271"/>
        <v>2639717</v>
      </c>
      <c r="GU57" s="565">
        <f t="shared" si="272"/>
        <v>1860698</v>
      </c>
      <c r="GV57" s="566">
        <f t="shared" si="282"/>
        <v>2639717</v>
      </c>
      <c r="GW57" s="566">
        <f t="shared" si="273"/>
        <v>1860698</v>
      </c>
      <c r="GX57" s="565">
        <f>GV57-GW57</f>
        <v>779019</v>
      </c>
      <c r="GY57" s="652">
        <f t="shared" si="221"/>
        <v>2250207.5</v>
      </c>
      <c r="GZ57" s="566">
        <f t="shared" si="269"/>
        <v>16240418</v>
      </c>
      <c r="HA57" s="567">
        <f t="shared" si="253"/>
        <v>0.1625399666437157</v>
      </c>
      <c r="HB57" s="568">
        <f t="shared" ref="HB57:HB65" si="283">GX57/GW57</f>
        <v>0.418670305444516</v>
      </c>
      <c r="HC57" s="569">
        <f t="shared" si="274"/>
        <v>0.20392192678297064</v>
      </c>
      <c r="HE57" s="6">
        <f>16240418/104</f>
        <v>156157.86538461538</v>
      </c>
      <c r="HH57" s="24">
        <f t="shared" si="245"/>
        <v>35246</v>
      </c>
      <c r="HI57" s="95">
        <f t="shared" si="246"/>
        <v>1118487</v>
      </c>
      <c r="HJ57" s="95">
        <f t="shared" si="247"/>
        <v>142412</v>
      </c>
      <c r="HK57" s="53"/>
    </row>
    <row r="58" spans="1:219">
      <c r="A58" s="24">
        <v>32355</v>
      </c>
      <c r="B58" s="25">
        <f t="shared" si="263"/>
        <v>1576011</v>
      </c>
      <c r="C58" s="25">
        <f t="shared" si="264"/>
        <v>78633</v>
      </c>
      <c r="D58" s="25">
        <f t="shared" si="243"/>
        <v>497869</v>
      </c>
      <c r="E58" s="25">
        <f t="shared" si="257"/>
        <v>132920.41666666666</v>
      </c>
      <c r="F58" s="25"/>
      <c r="G58" s="25"/>
      <c r="H58" s="25">
        <f t="shared" ref="H58:H89" si="284">SUM(C47:C58)</f>
        <v>1595045</v>
      </c>
      <c r="I58" s="25">
        <f t="shared" si="250"/>
        <v>215463</v>
      </c>
      <c r="J58" s="25">
        <f t="shared" si="251"/>
        <v>1379582</v>
      </c>
      <c r="K58" s="25"/>
      <c r="L58" s="25">
        <f t="shared" si="235"/>
        <v>226879</v>
      </c>
      <c r="M58" s="25"/>
      <c r="N58" s="25"/>
      <c r="O58" s="25"/>
      <c r="P58" s="25">
        <f t="shared" si="236"/>
        <v>347835.3593688212</v>
      </c>
      <c r="Q58" s="25">
        <f t="shared" si="237"/>
        <v>-222153.80880728277</v>
      </c>
      <c r="R58" s="25">
        <f t="shared" si="265"/>
        <v>1576011</v>
      </c>
      <c r="S58" s="25">
        <f t="shared" si="238"/>
        <v>127519</v>
      </c>
      <c r="T58" s="25">
        <f t="shared" si="239"/>
        <v>1418522.2143234741</v>
      </c>
      <c r="U58" s="25">
        <f t="shared" si="240"/>
        <v>776443.85114146117</v>
      </c>
      <c r="V58" s="25"/>
      <c r="W58" s="25">
        <f t="shared" si="147"/>
        <v>17351760</v>
      </c>
      <c r="X58" s="157">
        <f t="shared" si="228"/>
        <v>0.46591324397266631</v>
      </c>
      <c r="Y58" s="25">
        <f t="shared" si="148"/>
        <v>3007060.0080000004</v>
      </c>
      <c r="Z58" s="25"/>
      <c r="AB58" s="224">
        <f t="shared" si="277"/>
        <v>2014</v>
      </c>
      <c r="AC58" s="225"/>
      <c r="AD58" s="603"/>
      <c r="AE58" s="59">
        <f t="shared" si="275"/>
        <v>4513391</v>
      </c>
      <c r="AF58" s="669">
        <f t="shared" si="276"/>
        <v>20486447.572999999</v>
      </c>
      <c r="AG58" s="22"/>
      <c r="AH58" s="59">
        <f>SUM(AH46:AH57)</f>
        <v>549084.88000000012</v>
      </c>
      <c r="AI58" s="59">
        <f>SUM(AI46:AI57)</f>
        <v>-311098.95</v>
      </c>
      <c r="AJ58" s="59">
        <f>SUM(AJ46:AJ57)</f>
        <v>-283870.13</v>
      </c>
      <c r="AK58" s="59">
        <f>SUM(AK46:AK57)</f>
        <v>329617.74</v>
      </c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3"/>
      <c r="BB58" s="53"/>
      <c r="BC58" s="53"/>
      <c r="BD58" s="53"/>
      <c r="BE58" s="53"/>
      <c r="BF58" s="53"/>
      <c r="BG58" s="53"/>
      <c r="BJ58" s="22" t="s">
        <v>497</v>
      </c>
      <c r="BK58" s="1">
        <v>51750</v>
      </c>
      <c r="BL58" s="1">
        <v>66848</v>
      </c>
      <c r="BM58" s="1">
        <f t="shared" si="278"/>
        <v>87801.625499999995</v>
      </c>
      <c r="BN58" s="1">
        <f t="shared" si="279"/>
        <v>86181.280000000013</v>
      </c>
      <c r="BO58" s="1">
        <f t="shared" si="280"/>
        <v>51000</v>
      </c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6"/>
      <c r="CE58" s="6"/>
      <c r="CG58"/>
      <c r="DI58" s="6"/>
      <c r="DJ58" s="58"/>
      <c r="DK58" s="58"/>
      <c r="DL58" s="58"/>
      <c r="DM58" s="58"/>
      <c r="DN58" s="58"/>
      <c r="DO58" s="58"/>
      <c r="DP58" s="58"/>
      <c r="DQ58" s="58"/>
      <c r="DR58" s="58"/>
      <c r="DS58" s="58"/>
      <c r="DT58" s="58"/>
      <c r="DU58" s="58"/>
      <c r="FP58" s="640"/>
      <c r="FQ58" s="640"/>
      <c r="FR58" s="640"/>
      <c r="FS58" s="640"/>
      <c r="FT58" s="640"/>
      <c r="FU58" s="640"/>
      <c r="FV58" s="640"/>
      <c r="FW58" s="640"/>
      <c r="FX58" s="640"/>
      <c r="FY58" s="640"/>
      <c r="FZ58" s="640"/>
      <c r="GA58" s="640"/>
      <c r="GB58" s="640"/>
      <c r="GC58" s="640"/>
      <c r="GD58" s="640"/>
      <c r="GE58" s="640"/>
      <c r="GF58" s="640"/>
      <c r="GG58" s="640"/>
      <c r="GH58" s="640"/>
      <c r="GI58" s="640"/>
      <c r="GJ58" s="640"/>
      <c r="GK58" s="640"/>
      <c r="GL58" s="619">
        <f>A173</f>
        <v>35854</v>
      </c>
      <c r="GM58" s="620">
        <f>SUM(B171:B173)</f>
        <v>3662045</v>
      </c>
      <c r="GN58" s="620">
        <f>SUM(C171:C173)</f>
        <v>485602</v>
      </c>
      <c r="GO58" s="621">
        <f t="shared" si="270"/>
        <v>16637</v>
      </c>
      <c r="GP58" s="127">
        <f t="shared" si="254"/>
        <v>725091.61679999996</v>
      </c>
      <c r="GQ58" s="127">
        <f t="shared" si="255"/>
        <v>43442.983200000017</v>
      </c>
      <c r="GR58" s="48">
        <f t="shared" si="266"/>
        <v>632652.5</v>
      </c>
      <c r="GS58" s="289">
        <f t="shared" si="281"/>
        <v>495026.25</v>
      </c>
      <c r="GT58" s="48">
        <f t="shared" si="271"/>
        <v>2530610</v>
      </c>
      <c r="GU58" s="289">
        <f t="shared" si="272"/>
        <v>1980105</v>
      </c>
      <c r="GV58" s="622">
        <f t="shared" si="282"/>
        <v>2530610</v>
      </c>
      <c r="GW58" s="622">
        <f t="shared" si="273"/>
        <v>1980105</v>
      </c>
      <c r="GX58" s="289">
        <f>GV58-GW58</f>
        <v>550505</v>
      </c>
      <c r="GY58" s="48">
        <f t="shared" si="221"/>
        <v>2255357.5</v>
      </c>
      <c r="GZ58" s="622">
        <f t="shared" si="269"/>
        <v>16444814</v>
      </c>
      <c r="HA58" s="623">
        <f t="shared" si="253"/>
        <v>0.15388498769277659</v>
      </c>
      <c r="HB58" s="624">
        <f t="shared" si="283"/>
        <v>0.27801808489953816</v>
      </c>
      <c r="HC58" s="625">
        <f t="shared" si="274"/>
        <v>0.18121484418490225</v>
      </c>
      <c r="HH58" s="24">
        <f t="shared" si="245"/>
        <v>35277</v>
      </c>
      <c r="HI58" s="95">
        <f t="shared" si="246"/>
        <v>1191666</v>
      </c>
      <c r="HJ58" s="95">
        <f t="shared" si="247"/>
        <v>157284</v>
      </c>
      <c r="HK58" s="53"/>
    </row>
    <row r="59" spans="1:219">
      <c r="A59" s="24">
        <v>32386</v>
      </c>
      <c r="B59" s="25">
        <f t="shared" si="263"/>
        <v>1420289</v>
      </c>
      <c r="C59" s="25">
        <f t="shared" si="264"/>
        <v>45320</v>
      </c>
      <c r="D59" s="25">
        <f t="shared" si="243"/>
        <v>429465</v>
      </c>
      <c r="E59" s="25">
        <f t="shared" si="257"/>
        <v>126839</v>
      </c>
      <c r="F59" s="25"/>
      <c r="G59" s="25"/>
      <c r="H59" s="25">
        <f t="shared" si="284"/>
        <v>1522068</v>
      </c>
      <c r="I59" s="25">
        <f t="shared" si="250"/>
        <v>102454</v>
      </c>
      <c r="J59" s="25">
        <f t="shared" si="251"/>
        <v>1419614</v>
      </c>
      <c r="K59" s="25"/>
      <c r="L59" s="25">
        <f t="shared" si="235"/>
        <v>33313</v>
      </c>
      <c r="M59" s="25"/>
      <c r="N59" s="25"/>
      <c r="O59" s="25"/>
      <c r="P59" s="25">
        <f t="shared" si="236"/>
        <v>347835.3593688212</v>
      </c>
      <c r="Q59" s="25">
        <f t="shared" si="237"/>
        <v>-222153.80880728277</v>
      </c>
      <c r="R59" s="25">
        <f t="shared" si="265"/>
        <v>1420289</v>
      </c>
      <c r="S59" s="25">
        <f t="shared" si="238"/>
        <v>155722</v>
      </c>
      <c r="T59" s="25">
        <f t="shared" si="239"/>
        <v>1418522.2143234741</v>
      </c>
      <c r="U59" s="25">
        <f t="shared" si="240"/>
        <v>776443.85114146117</v>
      </c>
      <c r="V59" s="25"/>
      <c r="W59" s="25">
        <f t="shared" si="147"/>
        <v>16960380</v>
      </c>
      <c r="X59" s="157">
        <f t="shared" si="228"/>
        <v>0.34962845863389946</v>
      </c>
      <c r="Y59" s="25">
        <f t="shared" si="148"/>
        <v>2939233.8540000003</v>
      </c>
      <c r="Z59" s="25"/>
      <c r="AB59"/>
      <c r="AC59"/>
      <c r="AD59"/>
      <c r="AE59"/>
      <c r="AF59"/>
      <c r="AG59" s="22"/>
      <c r="AH59" s="59"/>
      <c r="AI59" s="26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 s="53"/>
      <c r="BB59" s="53"/>
      <c r="BC59" s="53"/>
      <c r="BD59" s="53"/>
      <c r="BE59" s="53"/>
      <c r="BF59" s="53"/>
      <c r="BG59" s="53"/>
      <c r="BJ59" s="22" t="s">
        <v>820</v>
      </c>
      <c r="BK59" s="1">
        <v>33150</v>
      </c>
      <c r="BL59" s="1">
        <v>39097</v>
      </c>
      <c r="BM59" s="1">
        <f t="shared" si="278"/>
        <v>51727.405999999995</v>
      </c>
      <c r="BN59" s="1">
        <f t="shared" si="279"/>
        <v>83959.776000000013</v>
      </c>
      <c r="BO59" s="1">
        <f t="shared" si="280"/>
        <v>55247.602999999996</v>
      </c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6"/>
      <c r="CE59" s="6"/>
      <c r="CG59"/>
      <c r="DI59" s="6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FP59" s="640"/>
      <c r="FQ59" s="640"/>
      <c r="FR59" s="640"/>
      <c r="FS59" s="640"/>
      <c r="FT59" s="640"/>
      <c r="FU59" s="640"/>
      <c r="FV59" s="640"/>
      <c r="FW59" s="640"/>
      <c r="FX59" s="640"/>
      <c r="FY59" s="640"/>
      <c r="FZ59" s="640"/>
      <c r="GA59" s="640"/>
      <c r="GB59" s="640"/>
      <c r="GC59" s="640"/>
      <c r="GD59" s="640"/>
      <c r="GE59" s="640"/>
      <c r="GF59" s="640"/>
      <c r="GG59" s="640"/>
      <c r="GH59" s="640"/>
      <c r="GI59" s="640"/>
      <c r="GJ59" s="640"/>
      <c r="GK59" s="640"/>
      <c r="GL59" s="619">
        <f>A176</f>
        <v>35946</v>
      </c>
      <c r="GM59" s="620">
        <f>SUM(B174:B176)</f>
        <v>4063314</v>
      </c>
      <c r="GN59" s="620">
        <f>SUM(C174:C176)</f>
        <v>489568</v>
      </c>
      <c r="GO59" s="621">
        <f t="shared" si="270"/>
        <v>3966</v>
      </c>
      <c r="GP59" s="127">
        <f t="shared" si="254"/>
        <v>725091.61679999996</v>
      </c>
      <c r="GQ59" s="127">
        <f t="shared" si="255"/>
        <v>43442.983200000017</v>
      </c>
      <c r="GR59" s="48">
        <f t="shared" si="266"/>
        <v>444867</v>
      </c>
      <c r="GS59" s="289">
        <f t="shared" si="281"/>
        <v>634970.75</v>
      </c>
      <c r="GT59" s="48">
        <f t="shared" si="271"/>
        <v>1779468</v>
      </c>
      <c r="GU59" s="289">
        <f t="shared" si="272"/>
        <v>2539883</v>
      </c>
      <c r="GV59" s="622">
        <f t="shared" si="282"/>
        <v>1779468</v>
      </c>
      <c r="GW59" s="622">
        <f t="shared" si="273"/>
        <v>2539883</v>
      </c>
      <c r="GX59" s="289">
        <f>GV59-GW59</f>
        <v>-760415</v>
      </c>
      <c r="GY59" s="48">
        <f t="shared" si="221"/>
        <v>2159675.5</v>
      </c>
      <c r="GZ59" s="622">
        <f t="shared" si="269"/>
        <v>15768754</v>
      </c>
      <c r="HA59" s="623">
        <f t="shared" si="253"/>
        <v>0.11284772404972516</v>
      </c>
      <c r="HB59" s="624">
        <f t="shared" si="283"/>
        <v>-0.29938977504081882</v>
      </c>
      <c r="HC59" s="625">
        <f t="shared" si="274"/>
        <v>4.4298234082614157E-2</v>
      </c>
      <c r="HH59" s="24">
        <f t="shared" ref="HH59:HI62" si="285">A155</f>
        <v>35308</v>
      </c>
      <c r="HI59" s="95">
        <f t="shared" si="285"/>
        <v>1248844</v>
      </c>
      <c r="HJ59" s="95">
        <f t="shared" si="247"/>
        <v>250762</v>
      </c>
      <c r="HK59" s="53"/>
    </row>
    <row r="60" spans="1:219">
      <c r="A60" s="24">
        <v>32416</v>
      </c>
      <c r="B60" s="25">
        <f t="shared" si="263"/>
        <v>1335292</v>
      </c>
      <c r="C60" s="25">
        <f t="shared" si="264"/>
        <v>1552</v>
      </c>
      <c r="D60" s="25">
        <f t="shared" si="243"/>
        <v>125505</v>
      </c>
      <c r="E60" s="25">
        <f t="shared" si="257"/>
        <v>103108.91666666667</v>
      </c>
      <c r="F60" s="25"/>
      <c r="G60" s="25"/>
      <c r="H60" s="25">
        <f t="shared" si="284"/>
        <v>1237307</v>
      </c>
      <c r="I60" s="25">
        <f t="shared" si="250"/>
        <v>425983</v>
      </c>
      <c r="J60" s="25">
        <f t="shared" si="251"/>
        <v>811324</v>
      </c>
      <c r="K60" s="25"/>
      <c r="L60" s="25">
        <f t="shared" si="235"/>
        <v>43768</v>
      </c>
      <c r="M60" s="25"/>
      <c r="N60" s="25"/>
      <c r="O60" s="25"/>
      <c r="P60" s="25">
        <f t="shared" si="236"/>
        <v>347835.3593688212</v>
      </c>
      <c r="Q60" s="25">
        <f t="shared" si="237"/>
        <v>-222153.80880728277</v>
      </c>
      <c r="R60" s="25">
        <f t="shared" si="265"/>
        <v>1335292</v>
      </c>
      <c r="S60" s="25">
        <f t="shared" si="238"/>
        <v>84997</v>
      </c>
      <c r="T60" s="25">
        <f t="shared" si="239"/>
        <v>1418522.2143234741</v>
      </c>
      <c r="U60" s="25">
        <f t="shared" si="240"/>
        <v>776443.85114146117</v>
      </c>
      <c r="V60" s="25"/>
      <c r="W60" s="25">
        <f t="shared" si="147"/>
        <v>16744234</v>
      </c>
      <c r="X60" s="157">
        <f t="shared" si="228"/>
        <v>0.27157371527398866</v>
      </c>
      <c r="Y60" s="25">
        <f t="shared" si="148"/>
        <v>2901775.7522</v>
      </c>
      <c r="Z60" s="25"/>
      <c r="AB60"/>
      <c r="AC60"/>
      <c r="AD60"/>
      <c r="AE60"/>
      <c r="AF60"/>
      <c r="AI60" s="51">
        <v>1.5</v>
      </c>
      <c r="AJ60" s="51">
        <v>1.6</v>
      </c>
      <c r="AK60" s="51">
        <v>1.7</v>
      </c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3"/>
      <c r="BB60" s="53"/>
      <c r="BC60" s="53"/>
      <c r="BD60" s="53"/>
      <c r="BE60" s="53"/>
      <c r="BF60" s="53"/>
      <c r="BG60" s="53"/>
      <c r="BJ60" s="22" t="s">
        <v>953</v>
      </c>
      <c r="BK60" s="1">
        <v>36000</v>
      </c>
      <c r="BL60" s="1">
        <v>53878</v>
      </c>
      <c r="BM60" s="1">
        <f t="shared" si="278"/>
        <v>128812.20749999999</v>
      </c>
      <c r="BN60" s="1">
        <f t="shared" si="279"/>
        <v>70070.97600000001</v>
      </c>
      <c r="BO60" s="1">
        <f t="shared" si="280"/>
        <v>42670.697</v>
      </c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6"/>
      <c r="CE60" s="6"/>
      <c r="CG60"/>
      <c r="DI60" s="6"/>
      <c r="DJ60" s="58"/>
      <c r="DK60" s="58"/>
      <c r="DL60" s="58"/>
      <c r="DM60" s="58"/>
      <c r="DN60" s="58"/>
      <c r="DO60" s="58"/>
      <c r="DP60" s="58"/>
      <c r="DQ60" s="58"/>
      <c r="DR60" s="58"/>
      <c r="DS60" s="58"/>
      <c r="DT60" s="58"/>
      <c r="DU60" s="58"/>
      <c r="FP60" s="640"/>
      <c r="FQ60" s="640"/>
      <c r="FR60" s="640"/>
      <c r="FS60" s="640"/>
      <c r="FT60" s="640"/>
      <c r="FU60" s="640"/>
      <c r="FV60" s="640"/>
      <c r="FW60" s="640"/>
      <c r="FX60" s="640"/>
      <c r="FY60" s="640"/>
      <c r="FZ60" s="640"/>
      <c r="GA60" s="640"/>
      <c r="GB60" s="640"/>
      <c r="GC60" s="640"/>
      <c r="GD60" s="640"/>
      <c r="GE60" s="640"/>
      <c r="GF60" s="640"/>
      <c r="GG60" s="640"/>
      <c r="GH60" s="640"/>
      <c r="GI60" s="640"/>
      <c r="GJ60" s="640"/>
      <c r="GK60" s="640"/>
      <c r="GL60" s="619">
        <f>A179</f>
        <v>36039</v>
      </c>
      <c r="GM60" s="620">
        <f>SUM(B177:B179)</f>
        <v>2666430</v>
      </c>
      <c r="GN60" s="620">
        <f>SUM(C177:C179)</f>
        <v>-479940</v>
      </c>
      <c r="GO60" s="621">
        <f t="shared" si="270"/>
        <v>969508</v>
      </c>
      <c r="GP60" s="127">
        <f t="shared" si="254"/>
        <v>725091.61679999996</v>
      </c>
      <c r="GQ60" s="127">
        <f t="shared" si="255"/>
        <v>43442.983200000017</v>
      </c>
      <c r="GR60" s="48">
        <f t="shared" si="266"/>
        <v>241048.75</v>
      </c>
      <c r="GS60" s="289">
        <f t="shared" si="281"/>
        <v>581189.5</v>
      </c>
      <c r="GT60" s="48">
        <f t="shared" si="271"/>
        <v>964195</v>
      </c>
      <c r="GU60" s="289">
        <f t="shared" si="272"/>
        <v>2324758</v>
      </c>
      <c r="GV60" s="622">
        <f t="shared" si="282"/>
        <v>964195</v>
      </c>
      <c r="GW60" s="622">
        <f t="shared" si="273"/>
        <v>2324758</v>
      </c>
      <c r="GX60" s="289">
        <f>GV60-GW60</f>
        <v>-1360563</v>
      </c>
      <c r="GY60" s="48">
        <f t="shared" si="221"/>
        <v>1644476.5</v>
      </c>
      <c r="GZ60" s="622">
        <f t="shared" si="269"/>
        <v>14635611</v>
      </c>
      <c r="HA60" s="623">
        <f t="shared" si="253"/>
        <v>6.5880064727055127E-2</v>
      </c>
      <c r="HB60" s="624">
        <f t="shared" si="283"/>
        <v>-0.58524930336835057</v>
      </c>
      <c r="HC60" s="625">
        <f t="shared" si="274"/>
        <v>-4.5945378464871234E-2</v>
      </c>
      <c r="HH60" s="24">
        <f t="shared" si="285"/>
        <v>35338</v>
      </c>
      <c r="HI60" s="95">
        <f t="shared" si="285"/>
        <v>1158531</v>
      </c>
      <c r="HJ60" s="95">
        <f>C156</f>
        <v>179501</v>
      </c>
      <c r="HK60" s="53"/>
    </row>
    <row r="61" spans="1:219">
      <c r="A61" s="24">
        <v>32447</v>
      </c>
      <c r="B61" s="25">
        <f t="shared" si="263"/>
        <v>1142785</v>
      </c>
      <c r="C61" s="25">
        <f t="shared" si="264"/>
        <v>-302798</v>
      </c>
      <c r="D61" s="25">
        <f t="shared" si="243"/>
        <v>-255926</v>
      </c>
      <c r="E61" s="25">
        <f t="shared" si="257"/>
        <v>54478.583333333336</v>
      </c>
      <c r="G61" s="48"/>
      <c r="H61" s="25">
        <f t="shared" si="284"/>
        <v>653743</v>
      </c>
      <c r="I61" s="25">
        <f t="shared" si="250"/>
        <v>819636</v>
      </c>
      <c r="J61" s="25">
        <f t="shared" si="251"/>
        <v>-165893</v>
      </c>
      <c r="K61" s="25"/>
      <c r="L61" s="25">
        <f t="shared" si="235"/>
        <v>304350</v>
      </c>
      <c r="M61" s="25"/>
      <c r="N61" s="25"/>
      <c r="O61" s="25"/>
      <c r="P61" s="25">
        <f t="shared" si="236"/>
        <v>347835.3593688212</v>
      </c>
      <c r="Q61" s="25">
        <f t="shared" si="237"/>
        <v>-222153.80880728277</v>
      </c>
      <c r="R61" s="25">
        <f t="shared" si="265"/>
        <v>1142785</v>
      </c>
      <c r="S61" s="25">
        <f t="shared" si="238"/>
        <v>192507</v>
      </c>
      <c r="T61" s="25">
        <f t="shared" si="239"/>
        <v>1418522.2143234741</v>
      </c>
      <c r="U61" s="25">
        <f t="shared" si="240"/>
        <v>776443.85114146117</v>
      </c>
      <c r="V61" s="25"/>
      <c r="W61" s="25">
        <f t="shared" si="147"/>
        <v>16163569</v>
      </c>
      <c r="X61" s="157">
        <f t="shared" si="228"/>
        <v>0.14643298688581588</v>
      </c>
      <c r="Y61" s="25">
        <f t="shared" si="148"/>
        <v>2801146.5077</v>
      </c>
      <c r="Z61" s="25"/>
      <c r="AB61"/>
      <c r="AC61"/>
      <c r="AD61"/>
      <c r="AE61"/>
      <c r="AF61"/>
      <c r="AH61" s="60" t="s">
        <v>1469</v>
      </c>
      <c r="AI61" s="60" t="s">
        <v>1469</v>
      </c>
      <c r="AJ61" s="60" t="s">
        <v>1469</v>
      </c>
      <c r="AK61" s="60" t="s">
        <v>1469</v>
      </c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53"/>
      <c r="BB61" s="53"/>
      <c r="BC61" s="53"/>
      <c r="BD61" s="53"/>
      <c r="BE61" s="53"/>
      <c r="BF61" s="53"/>
      <c r="BG61" s="53"/>
      <c r="BJ61" s="22" t="s">
        <v>970</v>
      </c>
      <c r="BK61" s="1">
        <v>52500</v>
      </c>
      <c r="BL61" s="1">
        <v>54092</v>
      </c>
      <c r="BM61" s="1">
        <f t="shared" si="278"/>
        <v>89248.550499999998</v>
      </c>
      <c r="BN61" s="1">
        <f t="shared" si="279"/>
        <v>96040.704000000012</v>
      </c>
      <c r="BO61" s="1">
        <f t="shared" si="280"/>
        <v>23361.876</v>
      </c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/>
      <c r="CE61" s="6"/>
      <c r="DG61" s="58"/>
      <c r="DH61" s="58"/>
      <c r="DI61" s="58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FP61" s="640"/>
      <c r="FQ61" s="640"/>
      <c r="FR61" s="640"/>
      <c r="FS61" s="640"/>
      <c r="FT61" s="640"/>
      <c r="FU61" s="640"/>
      <c r="FV61" s="640"/>
      <c r="FW61" s="640"/>
      <c r="FX61" s="640"/>
      <c r="FY61" s="640"/>
      <c r="FZ61" s="640"/>
      <c r="GA61" s="640"/>
      <c r="GB61" s="640"/>
      <c r="GC61" s="640"/>
      <c r="GD61" s="640"/>
      <c r="GE61" s="640"/>
      <c r="GF61" s="640"/>
      <c r="GG61" s="640"/>
      <c r="GH61" s="640"/>
      <c r="GI61" s="640"/>
      <c r="GJ61" s="640"/>
      <c r="GK61" s="640"/>
      <c r="GL61" s="563">
        <f>A182</f>
        <v>36130</v>
      </c>
      <c r="GM61" s="215">
        <f>SUM(B180:B182)</f>
        <v>3469122</v>
      </c>
      <c r="GN61" s="215">
        <f>SUM(C180:C182)</f>
        <v>33072</v>
      </c>
      <c r="GO61" s="564">
        <f t="shared" si="270"/>
        <v>513012</v>
      </c>
      <c r="GP61" s="121">
        <f t="shared" si="254"/>
        <v>725091.61679999996</v>
      </c>
      <c r="GQ61" s="121">
        <f t="shared" si="255"/>
        <v>43442.983200000017</v>
      </c>
      <c r="GR61" s="565">
        <f t="shared" si="266"/>
        <v>132075.5</v>
      </c>
      <c r="GS61" s="565">
        <f t="shared" si="281"/>
        <v>659929.25</v>
      </c>
      <c r="GT61" s="565">
        <f t="shared" si="271"/>
        <v>528302</v>
      </c>
      <c r="GU61" s="565">
        <f t="shared" si="272"/>
        <v>2639717</v>
      </c>
      <c r="GV61" s="566">
        <f t="shared" si="282"/>
        <v>528302</v>
      </c>
      <c r="GW61" s="566">
        <f t="shared" si="273"/>
        <v>2639717</v>
      </c>
      <c r="GX61" s="565">
        <f>GV61-GW61</f>
        <v>-2111415</v>
      </c>
      <c r="GY61" s="565">
        <f t="shared" si="221"/>
        <v>1584009.5</v>
      </c>
      <c r="GZ61" s="566">
        <f t="shared" si="269"/>
        <v>13860911</v>
      </c>
      <c r="HA61" s="567">
        <f t="shared" si="253"/>
        <v>3.8114522198432699E-2</v>
      </c>
      <c r="HB61" s="568">
        <f t="shared" si="283"/>
        <v>-0.79986415210418393</v>
      </c>
      <c r="HC61" s="569">
        <f t="shared" si="274"/>
        <v>-0.14651759579094578</v>
      </c>
      <c r="HH61" s="24">
        <f t="shared" si="285"/>
        <v>35369</v>
      </c>
      <c r="HI61" s="95">
        <f t="shared" si="285"/>
        <v>967138</v>
      </c>
      <c r="HJ61" s="95">
        <f>C157</f>
        <v>-51961</v>
      </c>
      <c r="HK61" s="53"/>
    </row>
    <row r="62" spans="1:219">
      <c r="A62" s="24">
        <v>32477</v>
      </c>
      <c r="B62" s="25">
        <f t="shared" si="263"/>
        <v>1460414</v>
      </c>
      <c r="C62" s="25">
        <f t="shared" si="264"/>
        <v>-438664</v>
      </c>
      <c r="D62" s="25">
        <f t="shared" si="243"/>
        <v>-739910</v>
      </c>
      <c r="E62" s="25">
        <f t="shared" si="257"/>
        <v>1833.3333333333333</v>
      </c>
      <c r="F62" s="25"/>
      <c r="G62" s="25"/>
      <c r="H62" s="25">
        <f t="shared" si="284"/>
        <v>22000</v>
      </c>
      <c r="I62" s="25">
        <f t="shared" si="250"/>
        <v>1056133</v>
      </c>
      <c r="J62" s="25">
        <f t="shared" si="251"/>
        <v>-1034133</v>
      </c>
      <c r="K62" s="25"/>
      <c r="L62" s="25">
        <f t="shared" si="235"/>
        <v>135866</v>
      </c>
      <c r="M62" s="25"/>
      <c r="N62" s="25"/>
      <c r="O62" s="25"/>
      <c r="P62" s="25">
        <f t="shared" si="236"/>
        <v>347835.3593688212</v>
      </c>
      <c r="Q62" s="25">
        <f t="shared" si="237"/>
        <v>-222153.80880728277</v>
      </c>
      <c r="R62" s="25">
        <f t="shared" si="265"/>
        <v>1460414</v>
      </c>
      <c r="S62" s="25">
        <f t="shared" si="238"/>
        <v>317629</v>
      </c>
      <c r="T62" s="25">
        <f t="shared" si="239"/>
        <v>1418522.2143234741</v>
      </c>
      <c r="U62" s="25">
        <f t="shared" si="240"/>
        <v>776443.85114146117</v>
      </c>
      <c r="V62" s="25"/>
      <c r="W62" s="25">
        <f t="shared" si="147"/>
        <v>16027667</v>
      </c>
      <c r="X62" s="157">
        <f t="shared" si="228"/>
        <v>8.4176911476482388E-2</v>
      </c>
      <c r="Y62" s="25">
        <f t="shared" si="148"/>
        <v>2777594.6910999999</v>
      </c>
      <c r="Z62" s="25"/>
      <c r="AB62"/>
      <c r="AC62"/>
      <c r="AD62"/>
      <c r="AE62"/>
      <c r="AF62"/>
      <c r="AG62" s="1">
        <v>-8404</v>
      </c>
      <c r="AH62">
        <v>-3513</v>
      </c>
      <c r="AI62" s="85">
        <f t="shared" ref="AI62:AI71" si="286">AI77*1.55</f>
        <v>-18776.513999999999</v>
      </c>
      <c r="AJ62" s="85">
        <f t="shared" ref="AJ62:AJ73" si="287">$AJ$60*AJ77</f>
        <v>2623.5680000000002</v>
      </c>
      <c r="AK62" s="85">
        <f>$AK$60*AK77</f>
        <v>-5424.3429999999998</v>
      </c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53"/>
      <c r="BB62" s="53"/>
      <c r="BC62" s="53"/>
      <c r="BD62" s="53"/>
      <c r="BE62" s="53"/>
      <c r="BF62" s="53"/>
      <c r="BG62" s="53"/>
      <c r="BJ62" s="22" t="s">
        <v>972</v>
      </c>
      <c r="BK62" s="1">
        <v>23748</v>
      </c>
      <c r="BL62" s="1">
        <v>39085</v>
      </c>
      <c r="BM62" s="1">
        <f t="shared" si="278"/>
        <v>82222.478000000003</v>
      </c>
      <c r="BN62" s="1">
        <f t="shared" si="279"/>
        <v>80400.256000000008</v>
      </c>
      <c r="BO62" s="1">
        <f t="shared" si="280"/>
        <v>142277.09700000001</v>
      </c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/>
      <c r="CE62" s="6"/>
      <c r="DG62" s="58"/>
      <c r="DH62" s="58"/>
      <c r="DI62" s="58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FP62" s="640"/>
      <c r="FQ62" s="640"/>
      <c r="FR62" s="640"/>
      <c r="FS62" s="640"/>
      <c r="FT62" s="640"/>
      <c r="FU62" s="640"/>
      <c r="FV62" s="640"/>
      <c r="FW62" s="640"/>
      <c r="FX62" s="640"/>
      <c r="FY62" s="640"/>
      <c r="FZ62" s="640"/>
      <c r="GA62" s="640"/>
      <c r="GB62" s="640"/>
      <c r="GC62" s="640"/>
      <c r="GD62" s="640"/>
      <c r="GE62" s="640"/>
      <c r="GF62" s="640"/>
      <c r="GG62" s="640"/>
      <c r="GH62" s="640"/>
      <c r="GI62" s="640"/>
      <c r="GJ62" s="640"/>
      <c r="GK62" s="640"/>
      <c r="GL62" s="619">
        <f>A185</f>
        <v>36220</v>
      </c>
      <c r="GM62" s="620">
        <f>SUM(B183:B185)</f>
        <v>2668385</v>
      </c>
      <c r="GN62" s="620">
        <f>SUM(C183:C185)</f>
        <v>-156799</v>
      </c>
      <c r="GO62" s="621">
        <f t="shared" si="270"/>
        <v>189871</v>
      </c>
      <c r="GP62" s="127">
        <f t="shared" si="254"/>
        <v>725091.61679999996</v>
      </c>
      <c r="GQ62" s="127">
        <f t="shared" si="255"/>
        <v>43442.983200000017</v>
      </c>
      <c r="GR62" s="48">
        <f t="shared" si="266"/>
        <v>-28524.75</v>
      </c>
      <c r="GS62" s="289">
        <f t="shared" ref="GS62:GS69" si="288">GR58</f>
        <v>632652.5</v>
      </c>
      <c r="GT62" s="48">
        <f t="shared" si="271"/>
        <v>-114099</v>
      </c>
      <c r="GU62" s="289">
        <f t="shared" ref="GU62:GU69" si="289">GT58</f>
        <v>2530610</v>
      </c>
      <c r="GV62" s="622">
        <f t="shared" si="282"/>
        <v>-114099</v>
      </c>
      <c r="GW62" s="622">
        <f t="shared" ref="GW62:GW69" si="290">GV58</f>
        <v>2530610</v>
      </c>
      <c r="GX62" s="289">
        <f t="shared" ref="GX62:GX69" si="291">GV62-GW62</f>
        <v>-2644709</v>
      </c>
      <c r="GY62" s="48">
        <f t="shared" si="221"/>
        <v>1208255.5</v>
      </c>
      <c r="GZ62" s="622">
        <f t="shared" si="269"/>
        <v>12867251</v>
      </c>
      <c r="HA62" s="623">
        <f t="shared" si="253"/>
        <v>-8.8673952190720454E-3</v>
      </c>
      <c r="HB62" s="624">
        <f t="shared" si="283"/>
        <v>-1.0450875480615345</v>
      </c>
      <c r="HC62" s="625">
        <f t="shared" ref="HC62:HC69" si="292">(GZ62-GZ58)/GZ58</f>
        <v>-0.21754961777007634</v>
      </c>
      <c r="HH62" s="24">
        <f t="shared" si="285"/>
        <v>35399</v>
      </c>
      <c r="HI62" s="95">
        <f t="shared" si="285"/>
        <v>1218168</v>
      </c>
      <c r="HJ62" s="95">
        <f>C158</f>
        <v>26466</v>
      </c>
      <c r="HK62" s="53"/>
    </row>
    <row r="63" spans="1:219">
      <c r="A63" s="24">
        <v>32508</v>
      </c>
      <c r="B63" s="25">
        <f t="shared" ref="B63:B74" si="293">BN3</f>
        <v>1285020</v>
      </c>
      <c r="C63" s="48">
        <f>AG3</f>
        <v>38218</v>
      </c>
      <c r="D63" s="25">
        <f t="shared" si="243"/>
        <v>-703244</v>
      </c>
      <c r="E63" s="25">
        <f t="shared" si="257"/>
        <v>1153.4166666666667</v>
      </c>
      <c r="F63" s="48">
        <f>IF(B63&lt;&gt;"",AVERAGE(C4:C63),"")</f>
        <v>52489.816666666666</v>
      </c>
      <c r="G63" s="48">
        <f>IF(B63&lt;&gt;"",STDEV(C4:C63),"")</f>
        <v>146205.15548950926</v>
      </c>
      <c r="H63" s="25">
        <f t="shared" si="284"/>
        <v>13841</v>
      </c>
      <c r="I63" s="25">
        <f t="shared" si="250"/>
        <v>1378411</v>
      </c>
      <c r="J63" s="25">
        <f t="shared" si="251"/>
        <v>-1364570</v>
      </c>
      <c r="K63" s="25"/>
      <c r="L63" s="25">
        <f t="shared" si="235"/>
        <v>476882</v>
      </c>
      <c r="M63" s="48">
        <f>IF(C63&lt;&gt;"",AVERAGE(L4:L63),"")</f>
        <v>118989.43333333333</v>
      </c>
      <c r="N63" s="61">
        <f>IF(B63&lt;&gt;"",F63+$N$1*G63,"")</f>
        <v>344900.12764568516</v>
      </c>
      <c r="O63" s="48">
        <f>IF(B63&lt;&gt;"",F63-$N$1*G63,"")</f>
        <v>-239920.49431235186</v>
      </c>
      <c r="P63" s="25">
        <f t="shared" si="236"/>
        <v>347835.3593688212</v>
      </c>
      <c r="Q63" s="25">
        <f t="shared" si="237"/>
        <v>-222153.80880728277</v>
      </c>
      <c r="R63" s="48">
        <f t="shared" ref="R63:R74" si="294">BN3</f>
        <v>1285020</v>
      </c>
      <c r="S63" s="25">
        <f t="shared" si="238"/>
        <v>175394</v>
      </c>
      <c r="T63" s="25">
        <f t="shared" si="239"/>
        <v>1418522.2143234741</v>
      </c>
      <c r="U63" s="25">
        <f t="shared" si="240"/>
        <v>776443.85114146117</v>
      </c>
      <c r="V63" s="25"/>
      <c r="W63" s="25">
        <f t="shared" si="147"/>
        <v>16296458</v>
      </c>
      <c r="X63" s="157">
        <f t="shared" si="228"/>
        <v>8.0712053573056858E-2</v>
      </c>
      <c r="Y63" s="25">
        <f t="shared" si="148"/>
        <v>2824176.1714000003</v>
      </c>
      <c r="Z63" s="25"/>
      <c r="AB63"/>
      <c r="AC63"/>
      <c r="AD63"/>
      <c r="AE63"/>
      <c r="AF63"/>
      <c r="AG63" s="1">
        <v>18248</v>
      </c>
      <c r="AH63">
        <v>4447</v>
      </c>
      <c r="AI63" s="85">
        <f t="shared" si="286"/>
        <v>5135.7700000000004</v>
      </c>
      <c r="AJ63" s="85">
        <f t="shared" si="287"/>
        <v>3704.5920000000001</v>
      </c>
      <c r="AK63" s="85">
        <f t="shared" ref="AK63:AK73" si="295">$AK$60*AK78</f>
        <v>-11044.509</v>
      </c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53"/>
      <c r="BB63" s="53"/>
      <c r="BC63" s="53"/>
      <c r="BD63" s="53"/>
      <c r="BE63" s="53"/>
      <c r="BF63" s="53"/>
      <c r="BG63" s="53"/>
      <c r="BH63" s="1">
        <v>18995</v>
      </c>
      <c r="BI63" s="1">
        <v>75168</v>
      </c>
      <c r="BJ63" s="1">
        <f>BM79*1.55</f>
        <v>62449.980499999998</v>
      </c>
      <c r="BK63" s="1">
        <f>$AJ$60*BN79</f>
        <v>81027.856000000014</v>
      </c>
      <c r="BL63" s="1">
        <v>75168</v>
      </c>
      <c r="BM63" s="1">
        <f t="shared" si="278"/>
        <v>62449.980499999998</v>
      </c>
      <c r="BN63" s="1">
        <f t="shared" si="279"/>
        <v>81027.856000000014</v>
      </c>
      <c r="BO63" s="1">
        <f t="shared" si="280"/>
        <v>-717.55299999999988</v>
      </c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/>
      <c r="CE63" s="6"/>
      <c r="DG63" s="58"/>
      <c r="DH63" s="58"/>
      <c r="DI63" s="58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FP63" s="640"/>
      <c r="FQ63" s="640"/>
      <c r="FR63" s="640"/>
      <c r="FS63" s="640"/>
      <c r="FT63" s="640"/>
      <c r="FU63" s="640"/>
      <c r="FV63" s="640"/>
      <c r="FW63" s="640"/>
      <c r="FX63" s="640"/>
      <c r="FY63" s="640"/>
      <c r="FZ63" s="640"/>
      <c r="GA63" s="640"/>
      <c r="GB63" s="640"/>
      <c r="GC63" s="640"/>
      <c r="GD63" s="640"/>
      <c r="GE63" s="640"/>
      <c r="GF63" s="640"/>
      <c r="GG63" s="640"/>
      <c r="GH63" s="640"/>
      <c r="GI63" s="640"/>
      <c r="GJ63" s="640"/>
      <c r="GK63" s="640"/>
      <c r="GL63" s="619">
        <f>A188</f>
        <v>36312</v>
      </c>
      <c r="GM63" s="620">
        <f>SUM(B186:B188)</f>
        <v>4313842</v>
      </c>
      <c r="GN63" s="620">
        <f>SUM(C186:C188)</f>
        <v>846290</v>
      </c>
      <c r="GO63" s="621">
        <f t="shared" si="270"/>
        <v>1003089</v>
      </c>
      <c r="GP63" s="127">
        <f t="shared" si="254"/>
        <v>725091.61679999996</v>
      </c>
      <c r="GQ63" s="127">
        <f t="shared" si="255"/>
        <v>43442.983200000017</v>
      </c>
      <c r="GR63" s="48">
        <f t="shared" si="266"/>
        <v>60655.75</v>
      </c>
      <c r="GS63" s="289">
        <f t="shared" si="288"/>
        <v>444867</v>
      </c>
      <c r="GT63" s="48">
        <f t="shared" si="271"/>
        <v>242623</v>
      </c>
      <c r="GU63" s="289">
        <f t="shared" si="289"/>
        <v>1779468</v>
      </c>
      <c r="GV63" s="622">
        <f t="shared" si="282"/>
        <v>242623</v>
      </c>
      <c r="GW63" s="622">
        <f t="shared" si="290"/>
        <v>1779468</v>
      </c>
      <c r="GX63" s="289">
        <f t="shared" si="291"/>
        <v>-1536845</v>
      </c>
      <c r="GY63" s="48">
        <f t="shared" si="221"/>
        <v>1011045.5</v>
      </c>
      <c r="GZ63" s="622">
        <f t="shared" si="269"/>
        <v>13117779</v>
      </c>
      <c r="HA63" s="623">
        <f t="shared" si="253"/>
        <v>1.8495737731211968E-2</v>
      </c>
      <c r="HB63" s="624">
        <f t="shared" si="283"/>
        <v>-0.86365419327574311</v>
      </c>
      <c r="HC63" s="625">
        <f t="shared" si="292"/>
        <v>-0.16811569259054965</v>
      </c>
      <c r="HH63" s="24">
        <f t="shared" ref="HH63:HH68" si="296">A159</f>
        <v>35430</v>
      </c>
      <c r="HI63" s="95">
        <f t="shared" ref="HI63:HI68" si="297">B159</f>
        <v>941149</v>
      </c>
      <c r="HJ63" s="95">
        <f t="shared" ref="HJ63:HJ68" si="298">C159</f>
        <v>64077</v>
      </c>
      <c r="HK63" s="53"/>
    </row>
    <row r="64" spans="1:219">
      <c r="A64" s="24">
        <v>32539</v>
      </c>
      <c r="B64" s="25">
        <f t="shared" si="293"/>
        <v>1097886</v>
      </c>
      <c r="C64" s="48">
        <v>-150000</v>
      </c>
      <c r="D64" s="25">
        <f t="shared" si="243"/>
        <v>-550446</v>
      </c>
      <c r="E64" s="25">
        <f t="shared" si="257"/>
        <v>-4700.583333333333</v>
      </c>
      <c r="F64" s="48">
        <f t="shared" ref="F64:F127" si="299">IF(B64&lt;&gt;"",AVERAGE(C5:C64),"")</f>
        <v>48054.85</v>
      </c>
      <c r="G64" s="48">
        <f t="shared" ref="G64:G127" si="300">IF(B64&lt;&gt;"",STDEV(C5:C64),"")</f>
        <v>148264.35913069177</v>
      </c>
      <c r="H64" s="25">
        <f t="shared" si="284"/>
        <v>-56407</v>
      </c>
      <c r="I64" s="25">
        <f t="shared" si="250"/>
        <v>1405179</v>
      </c>
      <c r="J64" s="25">
        <f t="shared" si="251"/>
        <v>-1461586</v>
      </c>
      <c r="K64" s="25">
        <f>AVERAGE(C62+C63+C64)</f>
        <v>-550446</v>
      </c>
      <c r="L64" s="25">
        <f t="shared" si="235"/>
        <v>188218</v>
      </c>
      <c r="M64" s="48">
        <f t="shared" ref="M64:M127" si="301">IF(C64&lt;&gt;"",AVERAGE(L5:L64),"")</f>
        <v>120424.76666666666</v>
      </c>
      <c r="N64" s="61">
        <f t="shared" ref="N64:N127" si="302">IF(B64&lt;&gt;"",F64+$N$1*G64,"")</f>
        <v>344583.56826138351</v>
      </c>
      <c r="O64" s="48">
        <f t="shared" ref="O64:O127" si="303">IF(B64&lt;&gt;"",F64-$N$1*G64,"")</f>
        <v>-248473.86826138353</v>
      </c>
      <c r="P64" s="25">
        <f t="shared" si="236"/>
        <v>347835.3593688212</v>
      </c>
      <c r="Q64" s="25">
        <f t="shared" si="237"/>
        <v>-222153.80880728277</v>
      </c>
      <c r="R64" s="48">
        <f t="shared" si="294"/>
        <v>1097886</v>
      </c>
      <c r="S64" s="25">
        <f t="shared" si="238"/>
        <v>187134</v>
      </c>
      <c r="T64" s="25">
        <f t="shared" si="239"/>
        <v>1418522.2143234741</v>
      </c>
      <c r="U64" s="25">
        <f t="shared" si="240"/>
        <v>776443.85114146117</v>
      </c>
      <c r="V64" s="25"/>
      <c r="W64" s="25">
        <f t="shared" si="147"/>
        <v>16452524</v>
      </c>
      <c r="X64" s="157">
        <f t="shared" si="228"/>
        <v>8.486375113654189E-2</v>
      </c>
      <c r="Y64" s="25">
        <f t="shared" si="148"/>
        <v>2851222.4092000001</v>
      </c>
      <c r="Z64" s="25"/>
      <c r="AB64"/>
      <c r="AC64"/>
      <c r="AD64"/>
      <c r="AE64"/>
      <c r="AF64"/>
      <c r="AG64" s="1">
        <v>3738</v>
      </c>
      <c r="AH64">
        <v>1199</v>
      </c>
      <c r="AI64" s="85">
        <f t="shared" si="286"/>
        <v>-4123.4650000000001</v>
      </c>
      <c r="AJ64" s="85">
        <f t="shared" si="287"/>
        <v>4043.0080000000003</v>
      </c>
      <c r="AK64" s="85">
        <f t="shared" si="295"/>
        <v>-25500</v>
      </c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53"/>
      <c r="BB64" s="53"/>
      <c r="BC64" s="53"/>
      <c r="BD64" s="53"/>
      <c r="BE64" s="53"/>
      <c r="BF64" s="53"/>
      <c r="BG64" s="53"/>
      <c r="BH64" s="1">
        <v>80846</v>
      </c>
      <c r="BI64" s="1">
        <v>31673</v>
      </c>
      <c r="BJ64" s="1">
        <f>BM80*1.55</f>
        <v>50761.3995</v>
      </c>
      <c r="BK64" s="1">
        <f>$AJ$60*BN80</f>
        <v>91573.088000000003</v>
      </c>
      <c r="BL64" s="1">
        <v>31673</v>
      </c>
      <c r="BM64" s="1">
        <f t="shared" si="278"/>
        <v>50761.3995</v>
      </c>
      <c r="BN64" s="1">
        <f t="shared" si="279"/>
        <v>91573.088000000003</v>
      </c>
      <c r="BO64" s="1">
        <f t="shared" si="280"/>
        <v>0</v>
      </c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/>
      <c r="CE64" s="6"/>
      <c r="DG64" s="58"/>
      <c r="DH64" s="58"/>
      <c r="DI64" s="58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FP64" s="640"/>
      <c r="FQ64" s="640"/>
      <c r="FR64" s="640"/>
      <c r="FS64" s="640"/>
      <c r="FT64" s="640"/>
      <c r="FU64" s="640"/>
      <c r="FV64" s="640"/>
      <c r="FW64" s="640"/>
      <c r="FX64" s="640"/>
      <c r="FY64" s="640"/>
      <c r="FZ64" s="640"/>
      <c r="GA64" s="640"/>
      <c r="GB64" s="640"/>
      <c r="GC64" s="640"/>
      <c r="GD64" s="640"/>
      <c r="GE64" s="640"/>
      <c r="GF64" s="640"/>
      <c r="GG64" s="640"/>
      <c r="GH64" s="640"/>
      <c r="GI64" s="640"/>
      <c r="GJ64" s="640"/>
      <c r="GK64" s="640"/>
      <c r="GL64" s="619">
        <f>A191</f>
        <v>36404</v>
      </c>
      <c r="GM64" s="620">
        <f>SUM(B189:B191)</f>
        <v>4052677</v>
      </c>
      <c r="GN64" s="620">
        <f>SUM(C189:C191)</f>
        <v>462283</v>
      </c>
      <c r="GO64" s="621">
        <f t="shared" si="270"/>
        <v>384007</v>
      </c>
      <c r="GP64" s="127">
        <f t="shared" si="254"/>
        <v>725091.61679999996</v>
      </c>
      <c r="GQ64" s="127">
        <f t="shared" si="255"/>
        <v>43442.983200000017</v>
      </c>
      <c r="GR64" s="48">
        <f t="shared" si="266"/>
        <v>296211.5</v>
      </c>
      <c r="GS64" s="289">
        <f t="shared" si="288"/>
        <v>241048.75</v>
      </c>
      <c r="GT64" s="48">
        <f t="shared" si="271"/>
        <v>1184846</v>
      </c>
      <c r="GU64" s="289">
        <f t="shared" si="289"/>
        <v>964195</v>
      </c>
      <c r="GV64" s="622">
        <f t="shared" si="282"/>
        <v>1184846</v>
      </c>
      <c r="GW64" s="622">
        <f t="shared" si="290"/>
        <v>964195</v>
      </c>
      <c r="GX64" s="289">
        <f t="shared" si="291"/>
        <v>220651</v>
      </c>
      <c r="GY64" s="48">
        <f t="shared" si="221"/>
        <v>1074520.5</v>
      </c>
      <c r="GZ64" s="622">
        <f t="shared" si="269"/>
        <v>14504026</v>
      </c>
      <c r="HA64" s="623">
        <f t="shared" si="253"/>
        <v>8.1690835358403241E-2</v>
      </c>
      <c r="HB64" s="624">
        <f t="shared" si="283"/>
        <v>0.22884478762076135</v>
      </c>
      <c r="HC64" s="625">
        <f t="shared" si="292"/>
        <v>-8.9907418282707836E-3</v>
      </c>
      <c r="HH64" s="24">
        <f t="shared" si="296"/>
        <v>35461</v>
      </c>
      <c r="HI64" s="95">
        <f t="shared" si="297"/>
        <v>1241801</v>
      </c>
      <c r="HJ64" s="95">
        <f t="shared" si="298"/>
        <v>276426</v>
      </c>
      <c r="HK64" s="53"/>
    </row>
    <row r="65" spans="1:219">
      <c r="A65" s="24">
        <v>32567</v>
      </c>
      <c r="B65" s="25">
        <f t="shared" si="293"/>
        <v>1405563</v>
      </c>
      <c r="C65" s="48">
        <f t="shared" ref="C65:C74" si="304">AG5</f>
        <v>52176</v>
      </c>
      <c r="D65" s="25">
        <f t="shared" si="243"/>
        <v>-59606</v>
      </c>
      <c r="E65" s="25">
        <f t="shared" si="257"/>
        <v>-5902.916666666667</v>
      </c>
      <c r="F65" s="48">
        <f t="shared" si="299"/>
        <v>48826.23333333333</v>
      </c>
      <c r="G65" s="48">
        <f t="shared" si="300"/>
        <v>148161.64737758401</v>
      </c>
      <c r="H65" s="25">
        <f t="shared" si="284"/>
        <v>-70835</v>
      </c>
      <c r="I65" s="25">
        <f t="shared" si="250"/>
        <v>1532427</v>
      </c>
      <c r="J65" s="25">
        <f t="shared" si="251"/>
        <v>-1603262</v>
      </c>
      <c r="K65" s="25"/>
      <c r="L65" s="25">
        <f t="shared" si="235"/>
        <v>202176</v>
      </c>
      <c r="M65" s="48">
        <f t="shared" si="301"/>
        <v>121957.61666666667</v>
      </c>
      <c r="N65" s="61">
        <f t="shared" si="302"/>
        <v>345149.52808850136</v>
      </c>
      <c r="O65" s="48">
        <f t="shared" si="303"/>
        <v>-247497.06142183469</v>
      </c>
      <c r="P65" s="25">
        <f t="shared" si="236"/>
        <v>347835.3593688212</v>
      </c>
      <c r="Q65" s="25">
        <f t="shared" si="237"/>
        <v>-222153.80880728277</v>
      </c>
      <c r="R65" s="48">
        <f t="shared" si="294"/>
        <v>1405563</v>
      </c>
      <c r="S65" s="25">
        <f t="shared" si="238"/>
        <v>307677</v>
      </c>
      <c r="T65" s="25">
        <f t="shared" si="239"/>
        <v>1418522.2143234741</v>
      </c>
      <c r="U65" s="25">
        <f t="shared" si="240"/>
        <v>776443.85114146117</v>
      </c>
      <c r="V65" s="25"/>
      <c r="W65" s="25">
        <f t="shared" si="147"/>
        <v>16481275</v>
      </c>
      <c r="X65" s="157">
        <f t="shared" si="228"/>
        <v>6.5626386282052709E-2</v>
      </c>
      <c r="Y65" s="25">
        <f t="shared" si="148"/>
        <v>2856204.9575</v>
      </c>
      <c r="Z65" s="25"/>
      <c r="AB65"/>
      <c r="AC65"/>
      <c r="AD65"/>
      <c r="AE65"/>
      <c r="AF65"/>
      <c r="AG65" s="1">
        <v>-16093</v>
      </c>
      <c r="AH65">
        <v>-8825</v>
      </c>
      <c r="AI65" s="85">
        <f t="shared" si="286"/>
        <v>-26547.113499999999</v>
      </c>
      <c r="AJ65" s="85">
        <f t="shared" si="287"/>
        <v>-6088.96000000001</v>
      </c>
      <c r="AK65" s="85">
        <f t="shared" si="295"/>
        <v>-19163.402999999998</v>
      </c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53"/>
      <c r="BB65" s="53"/>
      <c r="BC65" s="53"/>
      <c r="BD65" s="53"/>
      <c r="BE65" s="53"/>
      <c r="BF65" s="53"/>
      <c r="BG65" s="53"/>
      <c r="BH65" s="1">
        <v>54451</v>
      </c>
      <c r="BI65" s="1">
        <v>122442</v>
      </c>
      <c r="BJ65" s="1">
        <f>BM81*1.55</f>
        <v>53298.083000000006</v>
      </c>
      <c r="BK65" s="1">
        <f>$AJ$60*BN81</f>
        <v>108033.68000000001</v>
      </c>
      <c r="BL65" s="1">
        <v>122442</v>
      </c>
      <c r="BM65" s="1">
        <f t="shared" si="278"/>
        <v>53298.083000000006</v>
      </c>
      <c r="BN65" s="1">
        <f t="shared" si="279"/>
        <v>108033.68000000001</v>
      </c>
      <c r="BO65" s="1">
        <f t="shared" si="280"/>
        <v>0</v>
      </c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/>
      <c r="CE65" s="6"/>
      <c r="DG65" s="58"/>
      <c r="DH65" s="58"/>
      <c r="DI65" s="58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FP65" s="640"/>
      <c r="FQ65" s="640"/>
      <c r="FR65" s="640"/>
      <c r="FS65" s="640"/>
      <c r="FT65" s="640"/>
      <c r="FU65" s="640"/>
      <c r="FV65" s="640"/>
      <c r="FW65" s="640"/>
      <c r="FX65" s="640"/>
      <c r="FY65" s="640"/>
      <c r="FZ65" s="640"/>
      <c r="GA65" s="640"/>
      <c r="GB65" s="640"/>
      <c r="GC65" s="640"/>
      <c r="GD65" s="640"/>
      <c r="GE65" s="640"/>
      <c r="GF65" s="640"/>
      <c r="GG65" s="640"/>
      <c r="GH65" s="640"/>
      <c r="GI65" s="640"/>
      <c r="GJ65" s="640"/>
      <c r="GK65" s="640"/>
      <c r="GL65" s="563">
        <v>36862</v>
      </c>
      <c r="GM65" s="215">
        <f>SUM(B192:B194)</f>
        <v>3640096</v>
      </c>
      <c r="GN65" s="215">
        <f>SUM(C192:C194)</f>
        <v>-199678</v>
      </c>
      <c r="GO65" s="564">
        <f t="shared" si="270"/>
        <v>661961</v>
      </c>
      <c r="GP65" s="121">
        <f t="shared" si="254"/>
        <v>725091.61679999996</v>
      </c>
      <c r="GQ65" s="121">
        <f t="shared" si="255"/>
        <v>43442.983200000017</v>
      </c>
      <c r="GR65" s="565">
        <f t="shared" si="266"/>
        <v>238024</v>
      </c>
      <c r="GS65" s="565">
        <f t="shared" si="288"/>
        <v>132075.5</v>
      </c>
      <c r="GT65" s="565">
        <f t="shared" si="271"/>
        <v>952096</v>
      </c>
      <c r="GU65" s="565">
        <f t="shared" si="289"/>
        <v>528302</v>
      </c>
      <c r="GV65" s="566">
        <f t="shared" si="282"/>
        <v>952096</v>
      </c>
      <c r="GW65" s="566">
        <f t="shared" si="290"/>
        <v>528302</v>
      </c>
      <c r="GX65" s="565">
        <f t="shared" si="291"/>
        <v>423794</v>
      </c>
      <c r="GY65" s="565">
        <f t="shared" si="221"/>
        <v>740199</v>
      </c>
      <c r="GZ65" s="566">
        <f t="shared" si="269"/>
        <v>14675000</v>
      </c>
      <c r="HA65" s="567">
        <f t="shared" si="253"/>
        <v>6.4878773424190794E-2</v>
      </c>
      <c r="HB65" s="568">
        <f t="shared" si="283"/>
        <v>0.80218132810400111</v>
      </c>
      <c r="HC65" s="569">
        <f t="shared" si="292"/>
        <v>5.8732719660345559E-2</v>
      </c>
      <c r="HH65" s="24">
        <f t="shared" si="296"/>
        <v>35489</v>
      </c>
      <c r="HI65" s="95">
        <f t="shared" si="297"/>
        <v>1274699</v>
      </c>
      <c r="HJ65" s="95">
        <f t="shared" si="298"/>
        <v>254206</v>
      </c>
    </row>
    <row r="66" spans="1:219">
      <c r="A66" s="24">
        <v>32598</v>
      </c>
      <c r="B66" s="25">
        <f t="shared" si="293"/>
        <v>1347052</v>
      </c>
      <c r="C66" s="48">
        <f t="shared" si="304"/>
        <v>82001</v>
      </c>
      <c r="D66" s="25">
        <f t="shared" si="243"/>
        <v>-15823</v>
      </c>
      <c r="E66" s="25">
        <f t="shared" si="257"/>
        <v>-1299.0833333333333</v>
      </c>
      <c r="F66" s="48">
        <f t="shared" si="299"/>
        <v>52093.616666666669</v>
      </c>
      <c r="G66" s="48">
        <f t="shared" si="300"/>
        <v>146663.13919701075</v>
      </c>
      <c r="H66" s="25">
        <f t="shared" si="284"/>
        <v>-15589</v>
      </c>
      <c r="I66" s="25">
        <f t="shared" si="250"/>
        <v>1485841</v>
      </c>
      <c r="J66" s="25">
        <f t="shared" si="251"/>
        <v>-1501430</v>
      </c>
      <c r="K66" s="25"/>
      <c r="L66" s="25">
        <f t="shared" si="235"/>
        <v>29825</v>
      </c>
      <c r="M66" s="48">
        <f t="shared" si="301"/>
        <v>120455.78333333334</v>
      </c>
      <c r="N66" s="61">
        <f t="shared" si="302"/>
        <v>345419.89506068814</v>
      </c>
      <c r="O66" s="48">
        <f t="shared" si="303"/>
        <v>-241232.66172735483</v>
      </c>
      <c r="P66" s="25">
        <f t="shared" si="236"/>
        <v>347835.3593688212</v>
      </c>
      <c r="Q66" s="25">
        <f t="shared" si="237"/>
        <v>-222153.80880728277</v>
      </c>
      <c r="R66" s="48">
        <f t="shared" si="294"/>
        <v>1347052</v>
      </c>
      <c r="S66" s="25">
        <f t="shared" si="238"/>
        <v>58511</v>
      </c>
      <c r="T66" s="25">
        <f t="shared" si="239"/>
        <v>1418522.2143234741</v>
      </c>
      <c r="U66" s="25">
        <f t="shared" si="240"/>
        <v>776443.85114146117</v>
      </c>
      <c r="V66" s="25"/>
      <c r="W66" s="25">
        <f t="shared" si="147"/>
        <v>16562442</v>
      </c>
      <c r="X66" s="157">
        <f t="shared" si="228"/>
        <v>5.3747849869687912E-2</v>
      </c>
      <c r="Y66" s="25">
        <f t="shared" si="148"/>
        <v>2870271.1986000002</v>
      </c>
      <c r="Z66" s="25"/>
      <c r="AB66"/>
      <c r="AC66"/>
      <c r="AD66"/>
      <c r="AE66"/>
      <c r="AF66"/>
      <c r="AG66" s="1">
        <v>-25087</v>
      </c>
      <c r="AH66">
        <v>-5846</v>
      </c>
      <c r="AI66" s="85">
        <f t="shared" si="286"/>
        <v>25041.304</v>
      </c>
      <c r="AJ66" s="85">
        <f t="shared" si="287"/>
        <v>1181.6799999999989</v>
      </c>
      <c r="AK66" s="85">
        <f t="shared" si="295"/>
        <v>-26467.589</v>
      </c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53"/>
      <c r="BB66" s="53"/>
      <c r="BC66" s="53"/>
      <c r="BD66" s="53"/>
      <c r="BE66" s="53"/>
      <c r="BF66" s="53"/>
      <c r="BG66" s="53"/>
      <c r="BH66" s="1">
        <v>60717</v>
      </c>
      <c r="BI66" s="1">
        <v>101994</v>
      </c>
      <c r="BJ66" s="1">
        <f>BM82*1.55</f>
        <v>36942.142</v>
      </c>
      <c r="BK66" s="1">
        <f>$AJ$60*BN82</f>
        <v>93600.304000000004</v>
      </c>
      <c r="BL66" s="1">
        <v>101994</v>
      </c>
      <c r="BM66" s="1">
        <f t="shared" si="278"/>
        <v>36942.142</v>
      </c>
      <c r="BN66" s="1">
        <f t="shared" si="279"/>
        <v>93600.304000000004</v>
      </c>
      <c r="BO66" s="1">
        <f t="shared" si="280"/>
        <v>0</v>
      </c>
      <c r="BP66" s="1"/>
      <c r="BQ66" s="1"/>
      <c r="BR66" s="1"/>
      <c r="BS66" s="1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70"/>
      <c r="CE66"/>
      <c r="DI66" s="6"/>
      <c r="DU66" s="55"/>
      <c r="FP66" s="640"/>
      <c r="FQ66" s="640"/>
      <c r="FR66" s="640"/>
      <c r="FS66" s="640"/>
      <c r="FT66" s="640"/>
      <c r="FU66" s="640"/>
      <c r="FV66" s="640"/>
      <c r="FW66" s="640"/>
      <c r="FX66" s="640"/>
      <c r="FY66" s="640"/>
      <c r="FZ66" s="640"/>
      <c r="GA66" s="640"/>
      <c r="GB66" s="640"/>
      <c r="GC66" s="640"/>
      <c r="GD66" s="640"/>
      <c r="GE66" s="640"/>
      <c r="GF66" s="640"/>
      <c r="GG66" s="640"/>
      <c r="GH66" s="640"/>
      <c r="GI66" s="640"/>
      <c r="GJ66" s="640"/>
      <c r="GK66" s="640"/>
      <c r="GL66" s="619">
        <f>A197</f>
        <v>36585</v>
      </c>
      <c r="GM66" s="620">
        <f>SUM(B195:B197)</f>
        <v>3550028</v>
      </c>
      <c r="GN66" s="620">
        <f>SUM(C195:C197)</f>
        <v>50952</v>
      </c>
      <c r="GO66" s="621">
        <f t="shared" si="270"/>
        <v>250630</v>
      </c>
      <c r="GP66" s="127">
        <f t="shared" si="254"/>
        <v>725091.61679999996</v>
      </c>
      <c r="GQ66" s="127">
        <f t="shared" si="255"/>
        <v>43442.983200000017</v>
      </c>
      <c r="GR66" s="48">
        <f t="shared" si="266"/>
        <v>289961.75</v>
      </c>
      <c r="GS66" s="289">
        <f t="shared" si="288"/>
        <v>-28524.75</v>
      </c>
      <c r="GT66" s="48">
        <f t="shared" si="271"/>
        <v>1159847</v>
      </c>
      <c r="GU66" s="289">
        <f t="shared" si="289"/>
        <v>-114099</v>
      </c>
      <c r="GV66" s="622">
        <f t="shared" si="282"/>
        <v>1159847</v>
      </c>
      <c r="GW66" s="622">
        <f t="shared" si="290"/>
        <v>-114099</v>
      </c>
      <c r="GX66" s="289">
        <f t="shared" si="291"/>
        <v>1273946</v>
      </c>
      <c r="GY66" s="48">
        <f t="shared" si="221"/>
        <v>522874</v>
      </c>
      <c r="GZ66" s="622">
        <f t="shared" si="269"/>
        <v>15556643</v>
      </c>
      <c r="HA66" s="623">
        <f t="shared" ref="HA66:HA73" si="305">GV66/GZ66</f>
        <v>7.4556380833577018E-2</v>
      </c>
      <c r="HB66" s="624">
        <f t="shared" ref="HB66:HB73" si="306">GX66/GW66</f>
        <v>-11.165268757833109</v>
      </c>
      <c r="HC66" s="625">
        <f t="shared" si="292"/>
        <v>0.20901061151290201</v>
      </c>
      <c r="HH66" s="24">
        <f t="shared" si="296"/>
        <v>35520</v>
      </c>
      <c r="HI66" s="95">
        <f t="shared" si="297"/>
        <v>1587671</v>
      </c>
      <c r="HJ66" s="95">
        <f t="shared" si="298"/>
        <v>420335</v>
      </c>
    </row>
    <row r="67" spans="1:219">
      <c r="A67" s="24">
        <v>32628</v>
      </c>
      <c r="B67" s="25">
        <f t="shared" si="293"/>
        <v>1481503.15</v>
      </c>
      <c r="C67" s="48">
        <f t="shared" si="304"/>
        <v>135899.53</v>
      </c>
      <c r="D67" s="25">
        <f t="shared" si="243"/>
        <v>270076.53000000003</v>
      </c>
      <c r="E67" s="25">
        <f t="shared" si="257"/>
        <v>-3202.2058333333334</v>
      </c>
      <c r="F67" s="48">
        <f t="shared" si="299"/>
        <v>53959.725499999993</v>
      </c>
      <c r="G67" s="48">
        <f t="shared" si="300"/>
        <v>147010.66354705044</v>
      </c>
      <c r="H67" s="25">
        <f t="shared" si="284"/>
        <v>-38426.47</v>
      </c>
      <c r="I67" s="25">
        <f t="shared" si="250"/>
        <v>1460479</v>
      </c>
      <c r="J67" s="25">
        <f t="shared" si="251"/>
        <v>-1498905.47</v>
      </c>
      <c r="K67" s="25"/>
      <c r="L67" s="25">
        <f t="shared" si="235"/>
        <v>53898.53</v>
      </c>
      <c r="M67" s="48">
        <f t="shared" si="301"/>
        <v>119054.50883333334</v>
      </c>
      <c r="N67" s="61">
        <f t="shared" si="302"/>
        <v>347981.05259410088</v>
      </c>
      <c r="O67" s="48">
        <f t="shared" si="303"/>
        <v>-240061.60159410088</v>
      </c>
      <c r="P67" s="25">
        <f t="shared" si="236"/>
        <v>347835.3593688212</v>
      </c>
      <c r="Q67" s="25">
        <f t="shared" si="237"/>
        <v>-222153.80880728277</v>
      </c>
      <c r="R67" s="48">
        <f t="shared" si="294"/>
        <v>1481503.15</v>
      </c>
      <c r="S67" s="25">
        <f t="shared" si="238"/>
        <v>134451.14999999991</v>
      </c>
      <c r="T67" s="25">
        <f t="shared" si="239"/>
        <v>1418522.2143234741</v>
      </c>
      <c r="U67" s="25">
        <f t="shared" si="240"/>
        <v>776443.85114146117</v>
      </c>
      <c r="V67" s="25"/>
      <c r="W67" s="25">
        <f t="shared" si="147"/>
        <v>16635678.15</v>
      </c>
      <c r="X67" s="157">
        <f t="shared" si="228"/>
        <v>4.7519303384926798E-2</v>
      </c>
      <c r="Y67" s="25">
        <f t="shared" si="148"/>
        <v>2882963.023395</v>
      </c>
      <c r="Z67" s="25"/>
      <c r="AB67"/>
      <c r="AC67"/>
      <c r="AD67"/>
      <c r="AE67"/>
      <c r="AF67"/>
      <c r="AG67" s="85">
        <v>3348.0750000000003</v>
      </c>
      <c r="AH67">
        <v>3636</v>
      </c>
      <c r="AI67" s="85">
        <f t="shared" si="286"/>
        <v>-6901.5300000000007</v>
      </c>
      <c r="AJ67" s="85">
        <f t="shared" si="287"/>
        <v>3571.2800000000007</v>
      </c>
      <c r="AK67" s="85">
        <f t="shared" si="295"/>
        <v>-72776.642999999996</v>
      </c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53"/>
      <c r="BB67" s="53"/>
      <c r="BC67" s="53"/>
      <c r="BD67" s="53"/>
      <c r="BE67" s="53"/>
      <c r="BF67" s="53"/>
      <c r="BG67" s="53"/>
      <c r="BH67" s="94">
        <v>48366</v>
      </c>
      <c r="BI67" s="94">
        <v>101790</v>
      </c>
      <c r="BJ67" s="94">
        <f>BM83*1.55</f>
        <v>32205.4195</v>
      </c>
      <c r="BK67" s="94">
        <f>$AJ$60*BN83</f>
        <v>60464.448000000004</v>
      </c>
      <c r="BL67" s="94">
        <v>101790</v>
      </c>
      <c r="BM67" s="94">
        <f t="shared" si="278"/>
        <v>32205.4195</v>
      </c>
      <c r="BN67" s="94">
        <f t="shared" si="279"/>
        <v>60464.448000000004</v>
      </c>
      <c r="BO67" s="94">
        <f t="shared" si="280"/>
        <v>0</v>
      </c>
      <c r="BP67" s="2"/>
      <c r="BQ67" s="2"/>
      <c r="BR67" s="2"/>
      <c r="BS67" s="2"/>
      <c r="BT67" s="65"/>
      <c r="BU67" s="65"/>
      <c r="BV67" s="65"/>
      <c r="BW67" s="65"/>
      <c r="BX67" s="65"/>
      <c r="BY67" s="65"/>
      <c r="BZ67" s="65"/>
      <c r="CA67" s="65"/>
      <c r="CB67" s="65"/>
      <c r="CC67" s="65"/>
      <c r="CD67" s="70"/>
      <c r="CE67" s="70"/>
      <c r="DI67" s="6"/>
      <c r="DU67" s="55"/>
      <c r="FP67" s="640"/>
      <c r="FQ67" s="640"/>
      <c r="FR67" s="640"/>
      <c r="FS67" s="640"/>
      <c r="FT67" s="640"/>
      <c r="FU67" s="640"/>
      <c r="FV67" s="640"/>
      <c r="FW67" s="640"/>
      <c r="FX67" s="640"/>
      <c r="FY67" s="640"/>
      <c r="FZ67" s="640"/>
      <c r="GA67" s="640"/>
      <c r="GB67" s="640"/>
      <c r="GC67" s="640"/>
      <c r="GD67" s="640"/>
      <c r="GE67" s="640"/>
      <c r="GF67" s="640"/>
      <c r="GG67" s="640"/>
      <c r="GH67" s="640"/>
      <c r="GI67" s="640"/>
      <c r="GJ67" s="640"/>
      <c r="GK67" s="640"/>
      <c r="GL67" s="619">
        <f>A200</f>
        <v>36682</v>
      </c>
      <c r="GM67" s="620">
        <f>SUM(B198:B200)</f>
        <v>3851666</v>
      </c>
      <c r="GN67" s="620">
        <f>SUM(C198:C200)</f>
        <v>136392</v>
      </c>
      <c r="GO67" s="621">
        <f t="shared" si="270"/>
        <v>85440</v>
      </c>
      <c r="GP67" s="127">
        <f t="shared" si="254"/>
        <v>725091.61679999996</v>
      </c>
      <c r="GQ67" s="127">
        <f t="shared" si="255"/>
        <v>43442.983200000017</v>
      </c>
      <c r="GR67" s="48">
        <f t="shared" si="266"/>
        <v>112487.25</v>
      </c>
      <c r="GS67" s="289">
        <f t="shared" si="288"/>
        <v>60655.75</v>
      </c>
      <c r="GT67" s="48">
        <f t="shared" si="271"/>
        <v>449949</v>
      </c>
      <c r="GU67" s="289">
        <f t="shared" si="289"/>
        <v>242623</v>
      </c>
      <c r="GV67" s="622">
        <f t="shared" si="282"/>
        <v>449949</v>
      </c>
      <c r="GW67" s="622">
        <f t="shared" si="290"/>
        <v>242623</v>
      </c>
      <c r="GX67" s="289">
        <f t="shared" si="291"/>
        <v>207326</v>
      </c>
      <c r="GY67" s="48">
        <f t="shared" si="221"/>
        <v>346286</v>
      </c>
      <c r="GZ67" s="622">
        <f t="shared" si="269"/>
        <v>15094467</v>
      </c>
      <c r="HA67" s="623">
        <f t="shared" si="305"/>
        <v>2.9808869700400815E-2</v>
      </c>
      <c r="HB67" s="624">
        <f t="shared" si="306"/>
        <v>0.85451915111098287</v>
      </c>
      <c r="HC67" s="625">
        <f t="shared" si="292"/>
        <v>0.15068770406941601</v>
      </c>
      <c r="HH67" s="24">
        <f t="shared" si="296"/>
        <v>35550</v>
      </c>
      <c r="HI67" s="95">
        <f t="shared" si="297"/>
        <v>1581307</v>
      </c>
      <c r="HJ67" s="95">
        <f t="shared" si="298"/>
        <v>403902</v>
      </c>
    </row>
    <row r="68" spans="1:219">
      <c r="A68" s="24">
        <v>32659</v>
      </c>
      <c r="B68" s="25">
        <f t="shared" si="293"/>
        <v>1493154</v>
      </c>
      <c r="C68" s="48">
        <f t="shared" si="304"/>
        <v>178089.76</v>
      </c>
      <c r="D68" s="25">
        <f t="shared" si="243"/>
        <v>395990.29000000004</v>
      </c>
      <c r="E68" s="25">
        <f t="shared" si="257"/>
        <v>2161.6075000000005</v>
      </c>
      <c r="F68" s="48">
        <f t="shared" si="299"/>
        <v>54833.021500000003</v>
      </c>
      <c r="G68" s="48">
        <f t="shared" si="300"/>
        <v>147598.45688998097</v>
      </c>
      <c r="H68" s="25">
        <f t="shared" si="284"/>
        <v>25939.290000000008</v>
      </c>
      <c r="I68" s="25">
        <f t="shared" si="250"/>
        <v>1472296</v>
      </c>
      <c r="J68" s="25">
        <f t="shared" si="251"/>
        <v>-1446356.71</v>
      </c>
      <c r="K68" s="25"/>
      <c r="L68" s="25">
        <f t="shared" ref="L68:L86" si="307">((C67-C68)^2)^0.5</f>
        <v>42190.23000000001</v>
      </c>
      <c r="M68" s="48">
        <f t="shared" si="301"/>
        <v>118061.69600000001</v>
      </c>
      <c r="N68" s="61">
        <f t="shared" si="302"/>
        <v>350029.93527996191</v>
      </c>
      <c r="O68" s="48">
        <f t="shared" si="303"/>
        <v>-240363.89227996193</v>
      </c>
      <c r="P68" s="25">
        <f t="shared" ref="P68:P99" si="308">$C$317+1.88*$L$317</f>
        <v>347835.3593688212</v>
      </c>
      <c r="Q68" s="25">
        <f t="shared" ref="Q68:Q99" si="309">$C$317-1.88*$L$317</f>
        <v>-222153.80880728277</v>
      </c>
      <c r="R68" s="48">
        <f t="shared" si="294"/>
        <v>1493154</v>
      </c>
      <c r="S68" s="25">
        <f t="shared" si="238"/>
        <v>11650.850000000093</v>
      </c>
      <c r="T68" s="25">
        <f t="shared" ref="T68:T99" si="310">$R$317+1.88*$S$317</f>
        <v>1418522.2143234741</v>
      </c>
      <c r="U68" s="25">
        <f t="shared" ref="U68:U99" si="311">$R$317-1.88*$S$317</f>
        <v>776443.85114146117</v>
      </c>
      <c r="V68" s="25"/>
      <c r="W68" s="25">
        <f t="shared" si="147"/>
        <v>16493461.15</v>
      </c>
      <c r="X68" s="157">
        <f t="shared" si="228"/>
        <v>-1.3627931851894143E-3</v>
      </c>
      <c r="Y68" s="25">
        <f t="shared" si="148"/>
        <v>2858316.8172950004</v>
      </c>
      <c r="Z68" s="25"/>
      <c r="AB68"/>
      <c r="AC68"/>
      <c r="AD68"/>
      <c r="AE68"/>
      <c r="AF68"/>
      <c r="AG68" s="85">
        <v>2506.2750000000001</v>
      </c>
      <c r="AH68">
        <v>-13013</v>
      </c>
      <c r="AI68" s="85">
        <f t="shared" si="286"/>
        <v>-4622.0225</v>
      </c>
      <c r="AJ68" s="85">
        <f t="shared" si="287"/>
        <v>2673.36</v>
      </c>
      <c r="AK68" s="120">
        <f t="shared" si="295"/>
        <v>-146702.571</v>
      </c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53"/>
      <c r="BB68" s="53"/>
      <c r="BC68" s="53"/>
      <c r="BD68" s="53"/>
      <c r="BE68" s="53"/>
      <c r="BF68" s="53"/>
      <c r="BG68" s="53"/>
      <c r="BH68" s="65"/>
      <c r="BJ68" s="65"/>
      <c r="BK68" s="65">
        <f>SUM(BK56:BK67)</f>
        <v>686213.37600000005</v>
      </c>
      <c r="BL68" s="65">
        <f>SUM(BL56:BL67)</f>
        <v>799550</v>
      </c>
      <c r="BM68" s="65">
        <f>SUM(BM56:BM67)</f>
        <v>817677.45199999982</v>
      </c>
      <c r="BN68" s="65">
        <f>SUM(BN56:BN67)</f>
        <v>1016874.7520000002</v>
      </c>
      <c r="BO68" s="65"/>
      <c r="BP68" s="65"/>
      <c r="BQ68" s="65"/>
      <c r="BR68" s="65"/>
      <c r="BS68" s="65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51"/>
      <c r="CE68" s="51"/>
      <c r="DI68" s="6"/>
      <c r="DU68" s="55"/>
      <c r="FP68" s="640"/>
      <c r="FQ68" s="640"/>
      <c r="FR68" s="640"/>
      <c r="FS68" s="640"/>
      <c r="FT68" s="640"/>
      <c r="FU68" s="640"/>
      <c r="FV68" s="640"/>
      <c r="FW68" s="640"/>
      <c r="FX68" s="640"/>
      <c r="FY68" s="640"/>
      <c r="FZ68" s="640"/>
      <c r="GA68" s="640"/>
      <c r="GB68" s="640"/>
      <c r="GC68" s="640"/>
      <c r="GD68" s="640"/>
      <c r="GE68" s="640"/>
      <c r="GF68" s="640"/>
      <c r="GG68" s="640"/>
      <c r="GH68" s="640"/>
      <c r="GI68" s="640"/>
      <c r="GJ68" s="640"/>
      <c r="GK68" s="640"/>
      <c r="GL68" s="619">
        <f>A203</f>
        <v>36798</v>
      </c>
      <c r="GM68" s="620">
        <f>SUM(B201:B203)</f>
        <v>3391286</v>
      </c>
      <c r="GN68" s="620">
        <f>SUM(C201:C203)</f>
        <v>-258072</v>
      </c>
      <c r="GO68" s="621">
        <f t="shared" si="270"/>
        <v>394464</v>
      </c>
      <c r="GP68" s="127">
        <f t="shared" si="254"/>
        <v>725091.61679999996</v>
      </c>
      <c r="GQ68" s="127">
        <f t="shared" si="255"/>
        <v>43442.983200000017</v>
      </c>
      <c r="GR68" s="48">
        <f t="shared" si="266"/>
        <v>-67601.5</v>
      </c>
      <c r="GS68" s="289">
        <f t="shared" si="288"/>
        <v>296211.5</v>
      </c>
      <c r="GT68" s="48">
        <f t="shared" si="271"/>
        <v>-270406</v>
      </c>
      <c r="GU68" s="289">
        <f t="shared" si="289"/>
        <v>1184846</v>
      </c>
      <c r="GV68" s="622">
        <f t="shared" si="282"/>
        <v>-270406</v>
      </c>
      <c r="GW68" s="622">
        <f t="shared" si="290"/>
        <v>1184846</v>
      </c>
      <c r="GX68" s="289">
        <f t="shared" si="291"/>
        <v>-1455252</v>
      </c>
      <c r="GY68" s="48">
        <f t="shared" si="221"/>
        <v>457220</v>
      </c>
      <c r="GZ68" s="622">
        <f t="shared" si="269"/>
        <v>14433076</v>
      </c>
      <c r="HA68" s="623">
        <f t="shared" si="305"/>
        <v>-1.8735160820881148E-2</v>
      </c>
      <c r="HB68" s="624">
        <f t="shared" si="306"/>
        <v>-1.2282203763189479</v>
      </c>
      <c r="HC68" s="625">
        <f t="shared" si="292"/>
        <v>-4.8917452299106472E-3</v>
      </c>
      <c r="HH68" s="24">
        <f t="shared" si="296"/>
        <v>35581</v>
      </c>
      <c r="HI68" s="95">
        <f t="shared" si="297"/>
        <v>1570396</v>
      </c>
      <c r="HJ68" s="95">
        <f t="shared" si="298"/>
        <v>416473</v>
      </c>
      <c r="HK68" s="202"/>
    </row>
    <row r="69" spans="1:219">
      <c r="A69" s="24">
        <v>32689</v>
      </c>
      <c r="B69" s="25">
        <f t="shared" si="293"/>
        <v>1247647.3999999999</v>
      </c>
      <c r="C69" s="48">
        <f t="shared" si="304"/>
        <v>-52693</v>
      </c>
      <c r="D69" s="25">
        <f>C69+C68+C67</f>
        <v>261296.29</v>
      </c>
      <c r="E69" s="25">
        <f t="shared" si="257"/>
        <v>-27688.809166666662</v>
      </c>
      <c r="F69" s="48">
        <f t="shared" si="299"/>
        <v>49866.7215</v>
      </c>
      <c r="G69" s="48">
        <f t="shared" si="300"/>
        <v>146086.98390641782</v>
      </c>
      <c r="H69" s="25">
        <f t="shared" si="284"/>
        <v>-332265.70999999996</v>
      </c>
      <c r="I69" s="25">
        <f t="shared" si="250"/>
        <v>1632535</v>
      </c>
      <c r="J69" s="25">
        <f t="shared" si="251"/>
        <v>-1964800.71</v>
      </c>
      <c r="K69" s="25"/>
      <c r="L69" s="25">
        <f t="shared" si="307"/>
        <v>230782.76</v>
      </c>
      <c r="M69" s="48">
        <f t="shared" si="301"/>
        <v>119914.85866666668</v>
      </c>
      <c r="N69" s="61">
        <f t="shared" si="302"/>
        <v>342040.68931283563</v>
      </c>
      <c r="O69" s="48">
        <f t="shared" si="303"/>
        <v>-242307.24631283566</v>
      </c>
      <c r="P69" s="25">
        <f t="shared" si="308"/>
        <v>347835.3593688212</v>
      </c>
      <c r="Q69" s="25">
        <f t="shared" si="309"/>
        <v>-222153.80880728277</v>
      </c>
      <c r="R69" s="48">
        <f t="shared" si="294"/>
        <v>1247647.3999999999</v>
      </c>
      <c r="S69" s="25">
        <f t="shared" si="238"/>
        <v>245506.60000000009</v>
      </c>
      <c r="T69" s="25">
        <f t="shared" si="310"/>
        <v>1418522.2143234741</v>
      </c>
      <c r="U69" s="25">
        <f t="shared" si="311"/>
        <v>776443.85114146117</v>
      </c>
      <c r="V69" s="25"/>
      <c r="W69" s="25">
        <f t="shared" si="147"/>
        <v>16292616.550000001</v>
      </c>
      <c r="X69" s="157">
        <f t="shared" si="228"/>
        <v>-3.8671671182925402E-2</v>
      </c>
      <c r="Y69" s="25">
        <f t="shared" si="148"/>
        <v>2823510.4481150005</v>
      </c>
      <c r="Z69" s="25"/>
      <c r="AB69"/>
      <c r="AC69"/>
      <c r="AD69"/>
      <c r="AE69"/>
      <c r="AF69"/>
      <c r="AG69" s="85">
        <v>557.62500000001091</v>
      </c>
      <c r="AH69">
        <v>-11489</v>
      </c>
      <c r="AI69" s="85">
        <f t="shared" si="286"/>
        <v>-34100.062000000005</v>
      </c>
      <c r="AJ69" s="85">
        <f t="shared" si="287"/>
        <v>594.80000000001166</v>
      </c>
      <c r="AK69" s="85">
        <f t="shared" si="295"/>
        <v>-9014.5560000000005</v>
      </c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53"/>
      <c r="BB69" s="53"/>
      <c r="BC69" s="53"/>
      <c r="BD69" s="53"/>
      <c r="BE69" s="53"/>
      <c r="BF69" s="53"/>
      <c r="BG69" s="53"/>
      <c r="BH69" s="65"/>
      <c r="BI69"/>
      <c r="BJ69" s="65"/>
      <c r="BK69" s="65"/>
      <c r="BL69" s="65"/>
      <c r="BM69" s="65"/>
      <c r="BN69" s="70" t="s">
        <v>1198</v>
      </c>
      <c r="BO69" s="70"/>
      <c r="BP69" s="70"/>
      <c r="BQ69" s="70"/>
      <c r="BR69" s="70"/>
      <c r="BS69" s="70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DI69" s="6"/>
      <c r="DU69" s="55"/>
      <c r="FP69" s="640"/>
      <c r="FQ69" s="640"/>
      <c r="FR69" s="640"/>
      <c r="FS69" s="640"/>
      <c r="FT69" s="640"/>
      <c r="FU69" s="640"/>
      <c r="FV69" s="640"/>
      <c r="FW69" s="640"/>
      <c r="FX69" s="640"/>
      <c r="FY69" s="640"/>
      <c r="FZ69" s="640"/>
      <c r="GA69" s="640"/>
      <c r="GB69" s="640"/>
      <c r="GC69" s="640"/>
      <c r="GD69" s="640"/>
      <c r="GE69" s="640"/>
      <c r="GF69" s="640"/>
      <c r="GG69" s="640"/>
      <c r="GH69" s="640"/>
      <c r="GI69" s="640"/>
      <c r="GJ69" s="640"/>
      <c r="GK69" s="640"/>
      <c r="GL69" s="563">
        <f>A206</f>
        <v>36889</v>
      </c>
      <c r="GM69" s="215">
        <f>SUM(B204:B206)</f>
        <v>3216533</v>
      </c>
      <c r="GN69" s="215">
        <f>SUM(C204:C206)</f>
        <v>-182366</v>
      </c>
      <c r="GO69" s="564">
        <f t="shared" si="270"/>
        <v>75706</v>
      </c>
      <c r="GP69" s="121">
        <f t="shared" si="254"/>
        <v>725091.61679999996</v>
      </c>
      <c r="GQ69" s="121">
        <f t="shared" si="255"/>
        <v>43442.983200000017</v>
      </c>
      <c r="GR69" s="565">
        <f t="shared" si="266"/>
        <v>-63273.5</v>
      </c>
      <c r="GS69" s="565">
        <f t="shared" si="288"/>
        <v>238024</v>
      </c>
      <c r="GT69" s="565">
        <f t="shared" si="271"/>
        <v>-253094</v>
      </c>
      <c r="GU69" s="565">
        <f t="shared" si="289"/>
        <v>952096</v>
      </c>
      <c r="GV69" s="566">
        <f t="shared" si="282"/>
        <v>-253094</v>
      </c>
      <c r="GW69" s="566">
        <f t="shared" si="290"/>
        <v>952096</v>
      </c>
      <c r="GX69" s="565">
        <f t="shared" si="291"/>
        <v>-1205190</v>
      </c>
      <c r="GY69" s="565">
        <f t="shared" si="221"/>
        <v>349501</v>
      </c>
      <c r="GZ69" s="566">
        <f t="shared" si="269"/>
        <v>14009513</v>
      </c>
      <c r="HA69" s="567">
        <f t="shared" si="305"/>
        <v>-1.8065867100448104E-2</v>
      </c>
      <c r="HB69" s="568">
        <f t="shared" si="306"/>
        <v>-1.2658282358081538</v>
      </c>
      <c r="HC69" s="569">
        <f t="shared" si="292"/>
        <v>-4.5348347529812608E-2</v>
      </c>
      <c r="HH69" s="24">
        <f t="shared" ref="HH69:HJ72" si="312">A165</f>
        <v>35611</v>
      </c>
      <c r="HI69" s="95">
        <f t="shared" si="312"/>
        <v>1248088</v>
      </c>
      <c r="HJ69" s="95">
        <f t="shared" si="312"/>
        <v>24430</v>
      </c>
      <c r="HK69" s="202"/>
    </row>
    <row r="70" spans="1:219" ht="14">
      <c r="A70" s="24">
        <v>32720</v>
      </c>
      <c r="B70" s="25">
        <f t="shared" si="293"/>
        <v>1243845</v>
      </c>
      <c r="C70" s="48">
        <f t="shared" si="304"/>
        <v>32240</v>
      </c>
      <c r="D70" s="25">
        <f t="shared" ref="D70:D133" si="313">C70+C69+C68</f>
        <v>157636.76</v>
      </c>
      <c r="E70" s="25">
        <f t="shared" si="257"/>
        <v>-31554.892499999998</v>
      </c>
      <c r="F70" s="48">
        <f t="shared" si="299"/>
        <v>48117.004833333332</v>
      </c>
      <c r="G70" s="48">
        <f t="shared" si="300"/>
        <v>145651.01642533258</v>
      </c>
      <c r="H70" s="25">
        <f t="shared" si="284"/>
        <v>-378658.70999999996</v>
      </c>
      <c r="I70" s="25">
        <f t="shared" si="250"/>
        <v>1595045</v>
      </c>
      <c r="J70" s="25">
        <f t="shared" si="251"/>
        <v>-1973703.71</v>
      </c>
      <c r="K70" s="25"/>
      <c r="L70" s="25">
        <f t="shared" si="307"/>
        <v>84933</v>
      </c>
      <c r="M70" s="48">
        <f t="shared" si="301"/>
        <v>119529.37533333334</v>
      </c>
      <c r="N70" s="61">
        <f t="shared" si="302"/>
        <v>339419.03768399847</v>
      </c>
      <c r="O70" s="48">
        <f t="shared" si="303"/>
        <v>-243185.02801733182</v>
      </c>
      <c r="P70" s="25">
        <f t="shared" si="308"/>
        <v>347835.3593688212</v>
      </c>
      <c r="Q70" s="25">
        <f t="shared" si="309"/>
        <v>-222153.80880728277</v>
      </c>
      <c r="R70" s="48">
        <f t="shared" si="294"/>
        <v>1243845</v>
      </c>
      <c r="S70" s="25">
        <f t="shared" si="238"/>
        <v>3802.3999999999069</v>
      </c>
      <c r="T70" s="25">
        <f t="shared" si="310"/>
        <v>1418522.2143234741</v>
      </c>
      <c r="U70" s="25">
        <f t="shared" si="311"/>
        <v>776443.85114146117</v>
      </c>
      <c r="V70" s="25"/>
      <c r="W70" s="25">
        <f t="shared" si="147"/>
        <v>15960450.550000001</v>
      </c>
      <c r="X70" s="157">
        <f t="shared" si="228"/>
        <v>-8.018261259952876E-2</v>
      </c>
      <c r="Y70" s="25">
        <f t="shared" si="148"/>
        <v>2765946.0803150004</v>
      </c>
      <c r="Z70" s="25"/>
      <c r="AB70"/>
      <c r="AC70"/>
      <c r="AD70"/>
      <c r="AE70"/>
      <c r="AF70"/>
      <c r="AG70" s="85">
        <v>3550.44</v>
      </c>
      <c r="AH70">
        <v>-51327</v>
      </c>
      <c r="AI70" s="85">
        <f t="shared" si="286"/>
        <v>-28093.874000000003</v>
      </c>
      <c r="AJ70" s="85">
        <f t="shared" si="287"/>
        <v>3787.1360000000004</v>
      </c>
      <c r="AK70" s="85">
        <f t="shared" si="295"/>
        <v>-1545.096</v>
      </c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53"/>
      <c r="BB70" s="53"/>
      <c r="BC70" s="53"/>
      <c r="BD70" s="53"/>
      <c r="BE70" s="53"/>
      <c r="BF70" s="53"/>
      <c r="BG70" s="53"/>
      <c r="BH70" s="65"/>
      <c r="BI70"/>
      <c r="BJ70" s="65"/>
      <c r="BK70" s="65"/>
      <c r="BL70" s="105"/>
      <c r="BM70" s="106" t="s">
        <v>1540</v>
      </c>
      <c r="BN70" s="106" t="s">
        <v>181</v>
      </c>
      <c r="BO70" s="107" t="s">
        <v>228</v>
      </c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87"/>
      <c r="CE70" s="87"/>
      <c r="DI70" s="6"/>
      <c r="DU70" s="55"/>
      <c r="FP70" s="640"/>
      <c r="FQ70" s="640"/>
      <c r="FR70" s="640"/>
      <c r="FS70" s="640"/>
      <c r="FT70" s="640"/>
      <c r="FU70" s="640"/>
      <c r="FV70" s="640"/>
      <c r="FW70" s="640"/>
      <c r="FX70" s="640"/>
      <c r="FY70" s="640"/>
      <c r="FZ70" s="640"/>
      <c r="GA70" s="640"/>
      <c r="GB70" s="640"/>
      <c r="GC70" s="640"/>
      <c r="GD70" s="640"/>
      <c r="GE70" s="640"/>
      <c r="GF70" s="640"/>
      <c r="GG70" s="640"/>
      <c r="GH70" s="640"/>
      <c r="GI70" s="640"/>
      <c r="GJ70" s="640"/>
      <c r="GK70" s="640"/>
      <c r="GL70" s="619">
        <f>A209</f>
        <v>36979</v>
      </c>
      <c r="GM70" s="620">
        <f>SUM(B207:B209)</f>
        <v>3084137</v>
      </c>
      <c r="GN70" s="620">
        <f>SUM(C207:C209)</f>
        <v>-123170</v>
      </c>
      <c r="GO70" s="621">
        <f>((GN70-GN69)^2)^0.5</f>
        <v>59196</v>
      </c>
      <c r="GP70" s="127">
        <f t="shared" si="254"/>
        <v>725091.61679999996</v>
      </c>
      <c r="GQ70" s="127">
        <f t="shared" si="255"/>
        <v>43442.983200000017</v>
      </c>
      <c r="GR70" s="48">
        <f t="shared" si="266"/>
        <v>-106804</v>
      </c>
      <c r="GS70" s="289">
        <f t="shared" ref="GS70:GS81" si="314">GR66</f>
        <v>289961.75</v>
      </c>
      <c r="GT70" s="48">
        <f t="shared" si="271"/>
        <v>-427216</v>
      </c>
      <c r="GU70" s="289">
        <f t="shared" ref="GU70:GU81" si="315">GT66</f>
        <v>1159847</v>
      </c>
      <c r="GV70" s="622">
        <f t="shared" si="282"/>
        <v>-427216</v>
      </c>
      <c r="GW70" s="622">
        <f t="shared" ref="GW70:GW81" si="316">GV66</f>
        <v>1159847</v>
      </c>
      <c r="GX70" s="289">
        <f t="shared" ref="GX70:GX81" si="317">GV70-GW70</f>
        <v>-1587063</v>
      </c>
      <c r="GY70" s="48">
        <f t="shared" ref="GY70:GY81" si="318">(GV70+GW70)/2</f>
        <v>366315.5</v>
      </c>
      <c r="GZ70" s="622">
        <f t="shared" si="269"/>
        <v>13543622</v>
      </c>
      <c r="HA70" s="623">
        <f t="shared" si="305"/>
        <v>-3.1543703744832806E-2</v>
      </c>
      <c r="HB70" s="624">
        <f t="shared" si="306"/>
        <v>-1.3683382377158366</v>
      </c>
      <c r="HC70" s="625">
        <f t="shared" ref="HC70:HC81" si="319">(GZ70-GZ66)/GZ66</f>
        <v>-0.12939944691152197</v>
      </c>
      <c r="HH70" s="24">
        <f t="shared" si="312"/>
        <v>35642</v>
      </c>
      <c r="HI70" s="95">
        <f t="shared" si="312"/>
        <v>1384930</v>
      </c>
      <c r="HJ70" s="95">
        <f t="shared" si="312"/>
        <v>195482</v>
      </c>
      <c r="HK70" s="202"/>
    </row>
    <row r="71" spans="1:219" ht="14">
      <c r="A71" s="24">
        <v>32751</v>
      </c>
      <c r="B71" s="25">
        <f t="shared" si="293"/>
        <v>1293325.8</v>
      </c>
      <c r="C71" s="48">
        <f t="shared" si="304"/>
        <v>33904.410000000003</v>
      </c>
      <c r="D71" s="25">
        <f t="shared" si="313"/>
        <v>13451.410000000003</v>
      </c>
      <c r="E71" s="25">
        <f t="shared" si="257"/>
        <v>-32506.191666666662</v>
      </c>
      <c r="F71" s="48">
        <f t="shared" si="299"/>
        <v>45210.945</v>
      </c>
      <c r="G71" s="48">
        <f t="shared" si="300"/>
        <v>144133.050711213</v>
      </c>
      <c r="H71" s="25">
        <f t="shared" si="284"/>
        <v>-390074.29999999993</v>
      </c>
      <c r="I71" s="25">
        <f t="shared" si="250"/>
        <v>1522068</v>
      </c>
      <c r="J71" s="25">
        <f t="shared" si="251"/>
        <v>-1912142.2999999998</v>
      </c>
      <c r="K71" s="25"/>
      <c r="L71" s="25">
        <f t="shared" si="307"/>
        <v>1664.4100000000035</v>
      </c>
      <c r="M71" s="48">
        <f t="shared" si="301"/>
        <v>118373.03216666667</v>
      </c>
      <c r="N71" s="61">
        <f t="shared" si="302"/>
        <v>333477.04642242601</v>
      </c>
      <c r="O71" s="48">
        <f t="shared" si="303"/>
        <v>-243055.15642242599</v>
      </c>
      <c r="P71" s="25">
        <f t="shared" si="308"/>
        <v>347835.3593688212</v>
      </c>
      <c r="Q71" s="25">
        <f t="shared" si="309"/>
        <v>-222153.80880728277</v>
      </c>
      <c r="R71" s="48">
        <f t="shared" si="294"/>
        <v>1293325.8</v>
      </c>
      <c r="S71" s="25">
        <f t="shared" si="238"/>
        <v>49480.800000000047</v>
      </c>
      <c r="T71" s="25">
        <f t="shared" si="310"/>
        <v>1418522.2143234741</v>
      </c>
      <c r="U71" s="25">
        <f t="shared" si="311"/>
        <v>776443.85114146117</v>
      </c>
      <c r="V71" s="25"/>
      <c r="W71" s="25">
        <f t="shared" si="147"/>
        <v>15833487.350000001</v>
      </c>
      <c r="X71" s="157">
        <f t="shared" si="228"/>
        <v>-6.6442653407529695E-2</v>
      </c>
      <c r="Y71" s="25">
        <f t="shared" si="148"/>
        <v>2743943.3577550002</v>
      </c>
      <c r="Z71" s="25"/>
      <c r="AB71"/>
      <c r="AC71"/>
      <c r="AD71"/>
      <c r="AE71" s="51"/>
      <c r="AF71"/>
      <c r="AG71" s="85">
        <f>$AJ$60*AJ86</f>
        <v>2690.3520000000003</v>
      </c>
      <c r="AH71">
        <v>36464</v>
      </c>
      <c r="AI71" s="85">
        <f t="shared" si="286"/>
        <v>-29200.093500000003</v>
      </c>
      <c r="AJ71" s="85">
        <f t="shared" si="287"/>
        <v>2690.3520000000003</v>
      </c>
      <c r="AK71" s="85">
        <f t="shared" si="295"/>
        <v>24263.233</v>
      </c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53"/>
      <c r="BB71" s="53"/>
      <c r="BC71" s="53"/>
      <c r="BD71" s="53"/>
      <c r="BE71" s="53"/>
      <c r="BF71" s="53"/>
      <c r="BG71" s="53"/>
      <c r="BI71"/>
      <c r="BL71" s="108"/>
      <c r="BM71" s="60" t="s">
        <v>229</v>
      </c>
      <c r="BN71" s="60" t="s">
        <v>229</v>
      </c>
      <c r="BO71" s="109" t="s">
        <v>229</v>
      </c>
      <c r="BP71" s="73"/>
      <c r="BQ71" s="73"/>
      <c r="BR71" s="73"/>
      <c r="BS71" s="73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87"/>
      <c r="CE71" s="87"/>
      <c r="DI71" s="6"/>
      <c r="DU71" s="55"/>
      <c r="FP71" s="640"/>
      <c r="FQ71" s="640"/>
      <c r="FR71" s="640"/>
      <c r="FS71" s="640"/>
      <c r="FT71" s="640"/>
      <c r="FU71" s="640"/>
      <c r="FV71" s="640"/>
      <c r="FW71" s="640"/>
      <c r="FX71" s="640"/>
      <c r="FY71" s="640"/>
      <c r="FZ71" s="640"/>
      <c r="GA71" s="640"/>
      <c r="GB71" s="640"/>
      <c r="GC71" s="640"/>
      <c r="GD71" s="640"/>
      <c r="GE71" s="640"/>
      <c r="GF71" s="640"/>
      <c r="GG71" s="640"/>
      <c r="GH71" s="640"/>
      <c r="GI71" s="640"/>
      <c r="GJ71" s="640"/>
      <c r="GK71" s="640"/>
      <c r="GL71" s="619">
        <f>A212</f>
        <v>37071</v>
      </c>
      <c r="GM71" s="620">
        <f>SUM(B210:B212)</f>
        <v>4739653</v>
      </c>
      <c r="GN71" s="620">
        <f>SUM(C210:C212)</f>
        <v>805067</v>
      </c>
      <c r="GO71" s="621">
        <f>((GN71-GN70)^2)^0.5</f>
        <v>928237</v>
      </c>
      <c r="GP71" s="127">
        <f t="shared" si="254"/>
        <v>725091.61679999996</v>
      </c>
      <c r="GQ71" s="127">
        <f t="shared" si="255"/>
        <v>43442.983200000017</v>
      </c>
      <c r="GR71" s="48">
        <f t="shared" si="266"/>
        <v>60364.75</v>
      </c>
      <c r="GS71" s="289">
        <f t="shared" si="314"/>
        <v>112487.25</v>
      </c>
      <c r="GT71" s="48">
        <f t="shared" si="271"/>
        <v>241459</v>
      </c>
      <c r="GU71" s="289">
        <f t="shared" si="315"/>
        <v>449949</v>
      </c>
      <c r="GV71" s="622">
        <f t="shared" si="282"/>
        <v>241459</v>
      </c>
      <c r="GW71" s="622">
        <f t="shared" si="316"/>
        <v>449949</v>
      </c>
      <c r="GX71" s="289">
        <f t="shared" si="317"/>
        <v>-208490</v>
      </c>
      <c r="GY71" s="48">
        <f t="shared" si="318"/>
        <v>345704</v>
      </c>
      <c r="GZ71" s="622">
        <f t="shared" si="269"/>
        <v>14431609</v>
      </c>
      <c r="HA71" s="623">
        <f t="shared" si="305"/>
        <v>1.6731259833882694E-2</v>
      </c>
      <c r="HB71" s="624">
        <f t="shared" si="306"/>
        <v>-0.46336362565535205</v>
      </c>
      <c r="HC71" s="625">
        <f t="shared" si="319"/>
        <v>-4.391397192096945E-2</v>
      </c>
      <c r="HH71" s="24">
        <f t="shared" si="312"/>
        <v>35673</v>
      </c>
      <c r="HI71" s="95">
        <f t="shared" si="312"/>
        <v>1166555</v>
      </c>
      <c r="HJ71" s="95">
        <f t="shared" si="312"/>
        <v>115421</v>
      </c>
      <c r="HK71" s="202"/>
    </row>
    <row r="72" spans="1:219" ht="14">
      <c r="A72" s="24">
        <v>32781</v>
      </c>
      <c r="B72" s="25">
        <f t="shared" si="293"/>
        <v>1272209.8</v>
      </c>
      <c r="C72" s="48">
        <f t="shared" si="304"/>
        <v>78275</v>
      </c>
      <c r="D72" s="25">
        <f t="shared" si="313"/>
        <v>144419.41</v>
      </c>
      <c r="E72" s="25">
        <f t="shared" si="257"/>
        <v>-26112.608333333326</v>
      </c>
      <c r="F72" s="48">
        <f t="shared" si="299"/>
        <v>44608.595000000001</v>
      </c>
      <c r="G72" s="48">
        <f t="shared" si="300"/>
        <v>143914.2850294121</v>
      </c>
      <c r="H72" s="25">
        <f t="shared" si="284"/>
        <v>-313351.29999999993</v>
      </c>
      <c r="I72" s="25">
        <f t="shared" si="250"/>
        <v>1237307</v>
      </c>
      <c r="J72" s="25">
        <f t="shared" si="251"/>
        <v>-1550658.2999999998</v>
      </c>
      <c r="K72" s="25"/>
      <c r="L72" s="25">
        <f t="shared" si="307"/>
        <v>44370.59</v>
      </c>
      <c r="M72" s="48">
        <f t="shared" si="301"/>
        <v>117548.342</v>
      </c>
      <c r="N72" s="61">
        <f t="shared" si="302"/>
        <v>332437.16505882423</v>
      </c>
      <c r="O72" s="48">
        <f t="shared" si="303"/>
        <v>-243219.9750588242</v>
      </c>
      <c r="P72" s="25">
        <f t="shared" si="308"/>
        <v>347835.3593688212</v>
      </c>
      <c r="Q72" s="25">
        <f t="shared" si="309"/>
        <v>-222153.80880728277</v>
      </c>
      <c r="R72" s="48">
        <f t="shared" si="294"/>
        <v>1272209.8</v>
      </c>
      <c r="S72" s="25">
        <f t="shared" si="238"/>
        <v>21116</v>
      </c>
      <c r="T72" s="25">
        <f t="shared" si="310"/>
        <v>1418522.2143234741</v>
      </c>
      <c r="U72" s="25">
        <f t="shared" si="311"/>
        <v>776443.85114146117</v>
      </c>
      <c r="V72" s="25"/>
      <c r="W72" s="25">
        <f t="shared" si="147"/>
        <v>15770405.150000002</v>
      </c>
      <c r="X72" s="157">
        <f t="shared" si="228"/>
        <v>-5.8159056425035494E-2</v>
      </c>
      <c r="Y72" s="25">
        <f t="shared" si="148"/>
        <v>2733011.2124950006</v>
      </c>
      <c r="Z72" s="25"/>
      <c r="AB72"/>
      <c r="AC72"/>
      <c r="AD72"/>
      <c r="AF72"/>
      <c r="AG72" s="1">
        <f>133442-140904.62</f>
        <v>-7462.6199999999953</v>
      </c>
      <c r="AH72">
        <v>2517</v>
      </c>
      <c r="AI72" s="85">
        <f>AI87*1.55</f>
        <v>-20366.488499999999</v>
      </c>
      <c r="AJ72" s="85">
        <f>$AJ$60*AJ87</f>
        <v>-34708.768000000004</v>
      </c>
      <c r="AK72" s="85">
        <f t="shared" si="295"/>
        <v>0</v>
      </c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53"/>
      <c r="BB72" s="53"/>
      <c r="BC72" s="53"/>
      <c r="BD72" s="53"/>
      <c r="BE72" s="53"/>
      <c r="BF72" s="53"/>
      <c r="BG72" s="53"/>
      <c r="BI72" s="62"/>
      <c r="BJ72" s="62"/>
      <c r="BK72" s="62"/>
      <c r="BL72" s="23" t="s">
        <v>387</v>
      </c>
      <c r="BM72" s="110">
        <v>34541.620000000003</v>
      </c>
      <c r="BN72" s="110">
        <v>55316.28</v>
      </c>
      <c r="BO72" s="111">
        <v>31719.34</v>
      </c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87"/>
      <c r="CE72" s="87"/>
      <c r="DI72" s="6"/>
      <c r="DU72" s="55"/>
      <c r="FP72" s="640"/>
      <c r="FQ72" s="640"/>
      <c r="FR72" s="640"/>
      <c r="FS72" s="640"/>
      <c r="FT72" s="640"/>
      <c r="FU72" s="640"/>
      <c r="FV72" s="640"/>
      <c r="FW72" s="640"/>
      <c r="FX72" s="640"/>
      <c r="FY72" s="640"/>
      <c r="FZ72" s="640"/>
      <c r="GA72" s="640"/>
      <c r="GB72" s="640"/>
      <c r="GC72" s="640"/>
      <c r="GD72" s="640"/>
      <c r="GE72" s="640"/>
      <c r="GF72" s="640"/>
      <c r="GG72" s="640"/>
      <c r="GH72" s="640"/>
      <c r="GI72" s="640"/>
      <c r="GJ72" s="640"/>
      <c r="GK72" s="640"/>
      <c r="GL72" s="619">
        <f>A215</f>
        <v>37163</v>
      </c>
      <c r="GM72" s="620">
        <f>SUM(B213:B215)</f>
        <v>3510130</v>
      </c>
      <c r="GN72" s="620">
        <f>SUM(C213:C215)</f>
        <v>-228454</v>
      </c>
      <c r="GO72" s="621">
        <f>((GN72-GN71)^2)^0.5</f>
        <v>1033521</v>
      </c>
      <c r="GP72" s="127">
        <f t="shared" si="254"/>
        <v>725091.61679999996</v>
      </c>
      <c r="GQ72" s="127">
        <f t="shared" si="255"/>
        <v>43442.983200000017</v>
      </c>
      <c r="GR72" s="48">
        <f t="shared" si="266"/>
        <v>67769.25</v>
      </c>
      <c r="GS72" s="289">
        <f t="shared" si="314"/>
        <v>-67601.5</v>
      </c>
      <c r="GT72" s="48">
        <f t="shared" si="271"/>
        <v>271077</v>
      </c>
      <c r="GU72" s="289">
        <f t="shared" si="315"/>
        <v>-270406</v>
      </c>
      <c r="GV72" s="622">
        <f t="shared" si="282"/>
        <v>271077</v>
      </c>
      <c r="GW72" s="622">
        <f t="shared" si="316"/>
        <v>-270406</v>
      </c>
      <c r="GX72" s="289">
        <f t="shared" si="317"/>
        <v>541483</v>
      </c>
      <c r="GY72" s="48">
        <f t="shared" si="318"/>
        <v>335.5</v>
      </c>
      <c r="GZ72" s="622">
        <f t="shared" si="269"/>
        <v>14550453</v>
      </c>
      <c r="HA72" s="623">
        <f t="shared" si="305"/>
        <v>1.8630141618271267E-2</v>
      </c>
      <c r="HB72" s="624">
        <f t="shared" si="306"/>
        <v>-2.0024814538138949</v>
      </c>
      <c r="HC72" s="625">
        <f t="shared" si="319"/>
        <v>8.1325006533603788E-3</v>
      </c>
      <c r="HH72" s="24">
        <f t="shared" si="312"/>
        <v>35703</v>
      </c>
      <c r="HI72" s="95">
        <f t="shared" si="312"/>
        <v>1827875</v>
      </c>
      <c r="HJ72" s="95">
        <f t="shared" si="312"/>
        <v>595746</v>
      </c>
      <c r="HK72" s="53"/>
    </row>
    <row r="73" spans="1:219" ht="14">
      <c r="A73" s="24">
        <v>32812</v>
      </c>
      <c r="B73" s="25">
        <f t="shared" si="293"/>
        <v>1277222.6000000001</v>
      </c>
      <c r="C73" s="48">
        <f t="shared" si="304"/>
        <v>190541.13</v>
      </c>
      <c r="D73" s="25">
        <f t="shared" si="313"/>
        <v>302720.54000000004</v>
      </c>
      <c r="E73" s="25">
        <f t="shared" si="257"/>
        <v>14998.985833333338</v>
      </c>
      <c r="F73" s="48">
        <f t="shared" si="299"/>
        <v>47834.580500000004</v>
      </c>
      <c r="G73" s="48">
        <f t="shared" si="300"/>
        <v>144993.95416791184</v>
      </c>
      <c r="H73" s="25">
        <f t="shared" si="284"/>
        <v>179987.83000000005</v>
      </c>
      <c r="I73" s="25">
        <f t="shared" si="250"/>
        <v>653743</v>
      </c>
      <c r="J73" s="25">
        <f t="shared" si="251"/>
        <v>-473755.16999999993</v>
      </c>
      <c r="K73" s="25"/>
      <c r="L73" s="25">
        <f t="shared" si="307"/>
        <v>112266.13</v>
      </c>
      <c r="M73" s="48">
        <f t="shared" si="301"/>
        <v>117462.21083333335</v>
      </c>
      <c r="N73" s="61">
        <f t="shared" si="302"/>
        <v>337822.48883582366</v>
      </c>
      <c r="O73" s="48">
        <f t="shared" si="303"/>
        <v>-242153.32783582367</v>
      </c>
      <c r="P73" s="25">
        <f t="shared" si="308"/>
        <v>347835.3593688212</v>
      </c>
      <c r="Q73" s="25">
        <f t="shared" si="309"/>
        <v>-222153.80880728277</v>
      </c>
      <c r="R73" s="48">
        <f t="shared" si="294"/>
        <v>1277222.6000000001</v>
      </c>
      <c r="S73" s="25">
        <f t="shared" si="238"/>
        <v>5012.8000000000466</v>
      </c>
      <c r="T73" s="25">
        <f t="shared" si="310"/>
        <v>1418522.2143234741</v>
      </c>
      <c r="U73" s="25">
        <f t="shared" si="311"/>
        <v>776443.85114146117</v>
      </c>
      <c r="V73" s="25"/>
      <c r="W73" s="25">
        <f t="shared" si="147"/>
        <v>15904842.750000002</v>
      </c>
      <c r="X73" s="157">
        <f t="shared" si="228"/>
        <v>-1.6006752592821433E-2</v>
      </c>
      <c r="Y73" s="25">
        <f t="shared" si="148"/>
        <v>2756309.2485750006</v>
      </c>
      <c r="Z73" s="25"/>
      <c r="AB73" s="24"/>
      <c r="AC73" s="97"/>
      <c r="AD73" s="97"/>
      <c r="AF73"/>
      <c r="AG73" s="67">
        <v>-20246.54</v>
      </c>
      <c r="AH73" s="64">
        <v>-51392</v>
      </c>
      <c r="AI73" s="83">
        <f>AI88*1.55</f>
        <v>-95446.148000000001</v>
      </c>
      <c r="AJ73" s="100">
        <f t="shared" si="287"/>
        <v>-19401.28</v>
      </c>
      <c r="AK73" s="85">
        <f t="shared" si="295"/>
        <v>0</v>
      </c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53"/>
      <c r="BB73" s="53"/>
      <c r="BC73" s="53"/>
      <c r="BD73" s="53"/>
      <c r="BE73" s="53"/>
      <c r="BF73" s="53"/>
      <c r="BG73" s="53"/>
      <c r="BI73"/>
      <c r="BL73" s="23" t="s">
        <v>496</v>
      </c>
      <c r="BM73" s="110">
        <v>57205.58</v>
      </c>
      <c r="BN73" s="110">
        <v>48135.21</v>
      </c>
      <c r="BO73" s="111">
        <v>36383.599999999999</v>
      </c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87"/>
      <c r="CE73" s="87"/>
      <c r="DI73" s="6"/>
      <c r="DU73" s="55"/>
      <c r="FP73" s="640"/>
      <c r="FQ73" s="640"/>
      <c r="FR73" s="640"/>
      <c r="FS73" s="640"/>
      <c r="FT73" s="640"/>
      <c r="FU73" s="640"/>
      <c r="FV73" s="640"/>
      <c r="FW73" s="640"/>
      <c r="FX73" s="640"/>
      <c r="FY73" s="640"/>
      <c r="FZ73" s="640"/>
      <c r="GA73" s="640"/>
      <c r="GB73" s="640"/>
      <c r="GC73" s="640"/>
      <c r="GD73" s="640"/>
      <c r="GE73" s="640"/>
      <c r="GF73" s="640"/>
      <c r="GG73" s="640"/>
      <c r="GH73" s="640"/>
      <c r="GI73" s="640"/>
      <c r="GJ73" s="640"/>
      <c r="GK73" s="640"/>
      <c r="GL73" s="563">
        <f>A218</f>
        <v>37254</v>
      </c>
      <c r="GM73" s="215">
        <f>SUM(B216:B218)</f>
        <v>3581896</v>
      </c>
      <c r="GN73" s="215">
        <f>SUM(C216:C218)</f>
        <v>-287741</v>
      </c>
      <c r="GO73" s="564">
        <f>((GN73-GN72)^2)^0.5</f>
        <v>59287</v>
      </c>
      <c r="GP73" s="121">
        <f t="shared" si="254"/>
        <v>725091.61679999996</v>
      </c>
      <c r="GQ73" s="121">
        <f t="shared" si="255"/>
        <v>43442.983200000017</v>
      </c>
      <c r="GR73" s="565">
        <f t="shared" si="266"/>
        <v>41425.5</v>
      </c>
      <c r="GS73" s="565">
        <f t="shared" si="314"/>
        <v>-63273.5</v>
      </c>
      <c r="GT73" s="565">
        <f t="shared" si="271"/>
        <v>165702</v>
      </c>
      <c r="GU73" s="565">
        <f t="shared" si="315"/>
        <v>-253094</v>
      </c>
      <c r="GV73" s="566">
        <f t="shared" si="282"/>
        <v>165702</v>
      </c>
      <c r="GW73" s="566">
        <f t="shared" si="316"/>
        <v>-253094</v>
      </c>
      <c r="GX73" s="565">
        <f t="shared" si="317"/>
        <v>418796</v>
      </c>
      <c r="GY73" s="565">
        <f t="shared" si="318"/>
        <v>-43696</v>
      </c>
      <c r="GZ73" s="566">
        <f t="shared" si="269"/>
        <v>14915816</v>
      </c>
      <c r="HA73" s="567">
        <f t="shared" si="305"/>
        <v>1.1109147498199226E-2</v>
      </c>
      <c r="HB73" s="568">
        <f t="shared" si="306"/>
        <v>-1.6547053663856117</v>
      </c>
      <c r="HC73" s="569">
        <f t="shared" si="319"/>
        <v>6.4691970377557015E-2</v>
      </c>
      <c r="HH73" s="24">
        <f>A169</f>
        <v>35734</v>
      </c>
      <c r="HI73" s="95">
        <f>B169</f>
        <v>1167283</v>
      </c>
      <c r="HJ73" s="95">
        <f>C169</f>
        <v>52911</v>
      </c>
      <c r="HK73" s="53"/>
    </row>
    <row r="74" spans="1:219" ht="14">
      <c r="A74" s="24">
        <v>32842</v>
      </c>
      <c r="B74" s="25">
        <f t="shared" si="293"/>
        <v>1267341.8</v>
      </c>
      <c r="C74" s="48">
        <f t="shared" si="304"/>
        <v>11662.31</v>
      </c>
      <c r="D74" s="25">
        <f t="shared" si="313"/>
        <v>280478.44</v>
      </c>
      <c r="E74" s="25">
        <f t="shared" si="257"/>
        <v>52526.178333333344</v>
      </c>
      <c r="F74" s="48">
        <f t="shared" si="299"/>
        <v>51961.385666666669</v>
      </c>
      <c r="G74" s="48">
        <f t="shared" si="300"/>
        <v>140225.40824920614</v>
      </c>
      <c r="H74" s="25">
        <f t="shared" si="284"/>
        <v>630314.14000000013</v>
      </c>
      <c r="I74" s="25">
        <f t="shared" si="250"/>
        <v>22000</v>
      </c>
      <c r="J74" s="25">
        <f t="shared" si="251"/>
        <v>608314.14000000013</v>
      </c>
      <c r="K74" s="25"/>
      <c r="L74" s="25">
        <f t="shared" si="307"/>
        <v>178878.82</v>
      </c>
      <c r="M74" s="48">
        <f t="shared" si="301"/>
        <v>116561.39116666668</v>
      </c>
      <c r="N74" s="61">
        <f t="shared" si="302"/>
        <v>332412.20216507895</v>
      </c>
      <c r="O74" s="48">
        <f t="shared" si="303"/>
        <v>-228489.43083174562</v>
      </c>
      <c r="P74" s="25">
        <f t="shared" si="308"/>
        <v>347835.3593688212</v>
      </c>
      <c r="Q74" s="25">
        <f t="shared" si="309"/>
        <v>-222153.80880728277</v>
      </c>
      <c r="R74" s="48">
        <f t="shared" si="294"/>
        <v>1267341.8</v>
      </c>
      <c r="S74" s="25">
        <f t="shared" ref="S74:S86" si="320">IF(R74&gt;0,ABS(R73-R74)," ")</f>
        <v>9880.8000000000466</v>
      </c>
      <c r="T74" s="25">
        <f t="shared" si="310"/>
        <v>1418522.2143234741</v>
      </c>
      <c r="U74" s="25">
        <f t="shared" si="311"/>
        <v>776443.85114146117</v>
      </c>
      <c r="V74" s="25"/>
      <c r="W74" s="25">
        <f t="shared" si="147"/>
        <v>15711770.550000003</v>
      </c>
      <c r="X74" s="157">
        <f t="shared" si="228"/>
        <v>-1.9709446795968335E-2</v>
      </c>
      <c r="Y74" s="25">
        <f t="shared" si="148"/>
        <v>2722849.8363150004</v>
      </c>
      <c r="Z74" s="25"/>
      <c r="AB74" s="24"/>
      <c r="AC74" s="97"/>
      <c r="AD74" s="97"/>
      <c r="AG74" s="48">
        <f>SUM(AG62:AG73)</f>
        <v>-42654.392999999982</v>
      </c>
      <c r="AH74" s="48">
        <f>SUM(AH62:AH73)</f>
        <v>-97142</v>
      </c>
      <c r="AI74" s="48">
        <f>SUM(AI62:AI73)</f>
        <v>-238000.23700000002</v>
      </c>
      <c r="AJ74" s="48">
        <f>SUM(AJ62:AJ73)</f>
        <v>-35329.232000000004</v>
      </c>
      <c r="AK74" s="48">
        <f>SUM(AK62:AK73)</f>
        <v>-293375.47699999996</v>
      </c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53"/>
      <c r="BB74" s="53"/>
      <c r="BC74" s="53"/>
      <c r="BD74" s="53"/>
      <c r="BE74" s="53"/>
      <c r="BF74" s="53"/>
      <c r="BG74" s="53"/>
      <c r="BI74"/>
      <c r="BL74" s="23" t="s">
        <v>497</v>
      </c>
      <c r="BM74" s="110">
        <v>56646.21</v>
      </c>
      <c r="BN74" s="110">
        <v>53863.3</v>
      </c>
      <c r="BO74" s="111">
        <v>30000</v>
      </c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62"/>
      <c r="CE74" s="87"/>
      <c r="DI74" s="6"/>
      <c r="DU74" s="55"/>
      <c r="FP74" s="640"/>
      <c r="FQ74" s="640"/>
      <c r="FR74" s="640"/>
      <c r="FS74" s="640"/>
      <c r="FT74" s="640"/>
      <c r="FU74" s="640"/>
      <c r="FV74" s="640"/>
      <c r="FW74" s="640"/>
      <c r="FX74" s="640"/>
      <c r="FY74" s="640"/>
      <c r="FZ74" s="640"/>
      <c r="GA74" s="640"/>
      <c r="GB74" s="640"/>
      <c r="GC74" s="640"/>
      <c r="GD74" s="640"/>
      <c r="GE74" s="640"/>
      <c r="GF74" s="640"/>
      <c r="GG74" s="640"/>
      <c r="GH74" s="640"/>
      <c r="GI74" s="640"/>
      <c r="GJ74" s="640"/>
      <c r="GK74" s="640"/>
      <c r="GL74" s="619">
        <f>A221</f>
        <v>37342</v>
      </c>
      <c r="GM74" s="620">
        <f>SUM(B219:B221)</f>
        <v>3839910</v>
      </c>
      <c r="GN74" s="620">
        <f>SUM(C219:C221)</f>
        <v>8693</v>
      </c>
      <c r="GO74" s="621">
        <f t="shared" ref="GO74:GO82" si="321">((GN74-GN73)^2)^0.5</f>
        <v>296434</v>
      </c>
      <c r="GP74" s="127">
        <f t="shared" si="254"/>
        <v>725091.61679999996</v>
      </c>
      <c r="GQ74" s="127">
        <f t="shared" si="255"/>
        <v>43442.983200000017</v>
      </c>
      <c r="GR74" s="48">
        <f t="shared" si="266"/>
        <v>74391.25</v>
      </c>
      <c r="GS74" s="289">
        <f t="shared" si="314"/>
        <v>-106804</v>
      </c>
      <c r="GT74" s="48">
        <f t="shared" si="271"/>
        <v>297565</v>
      </c>
      <c r="GU74" s="289">
        <f t="shared" si="315"/>
        <v>-427216</v>
      </c>
      <c r="GV74" s="622">
        <f t="shared" si="282"/>
        <v>297565</v>
      </c>
      <c r="GW74" s="622">
        <f t="shared" si="316"/>
        <v>-427216</v>
      </c>
      <c r="GX74" s="289">
        <f t="shared" si="317"/>
        <v>724781</v>
      </c>
      <c r="GY74" s="48">
        <f t="shared" si="318"/>
        <v>-64825.5</v>
      </c>
      <c r="GZ74" s="622">
        <f t="shared" si="269"/>
        <v>15671589</v>
      </c>
      <c r="HA74" s="623">
        <f t="shared" ref="HA74:HA81" si="322">GV74/GZ74</f>
        <v>1.8987544913282247E-2</v>
      </c>
      <c r="HB74" s="624">
        <f t="shared" ref="HB74:HB81" si="323">GX74/GW74</f>
        <v>-1.6965211977079511</v>
      </c>
      <c r="HC74" s="625">
        <f t="shared" si="319"/>
        <v>0.15711949137387327</v>
      </c>
      <c r="HH74" s="53"/>
      <c r="HI74" s="95"/>
      <c r="HJ74" s="95"/>
      <c r="HK74" s="53"/>
    </row>
    <row r="75" spans="1:219" ht="14">
      <c r="A75" s="24">
        <v>32873</v>
      </c>
      <c r="B75" s="48">
        <f t="shared" ref="B75:B86" si="324">BO3</f>
        <v>848032.79</v>
      </c>
      <c r="C75" s="48">
        <f t="shared" ref="C75:C86" si="325">AH3</f>
        <v>-277738</v>
      </c>
      <c r="D75" s="25">
        <f t="shared" si="313"/>
        <v>-75534.559999999998</v>
      </c>
      <c r="E75" s="25">
        <f t="shared" si="257"/>
        <v>26196.511666666676</v>
      </c>
      <c r="F75" s="48">
        <f t="shared" si="299"/>
        <v>46942.519</v>
      </c>
      <c r="G75" s="48">
        <f t="shared" si="300"/>
        <v>146513.20239167771</v>
      </c>
      <c r="H75" s="25">
        <f t="shared" si="284"/>
        <v>314358.14000000013</v>
      </c>
      <c r="I75" s="25">
        <f t="shared" si="250"/>
        <v>13841</v>
      </c>
      <c r="J75" s="25">
        <f t="shared" si="251"/>
        <v>300517.14000000013</v>
      </c>
      <c r="K75" s="25"/>
      <c r="L75" s="25">
        <f t="shared" si="307"/>
        <v>289400.31</v>
      </c>
      <c r="M75" s="48">
        <f t="shared" si="301"/>
        <v>117062.39633333334</v>
      </c>
      <c r="N75" s="61">
        <f t="shared" si="302"/>
        <v>339968.92378335539</v>
      </c>
      <c r="O75" s="48">
        <f t="shared" si="303"/>
        <v>-246083.88578335542</v>
      </c>
      <c r="P75" s="25">
        <f t="shared" si="308"/>
        <v>347835.3593688212</v>
      </c>
      <c r="Q75" s="25">
        <f t="shared" si="309"/>
        <v>-222153.80880728277</v>
      </c>
      <c r="R75" s="48">
        <f t="shared" ref="R75:R86" si="326">BO3</f>
        <v>848032.79</v>
      </c>
      <c r="S75" s="25">
        <f t="shared" si="320"/>
        <v>419309.01</v>
      </c>
      <c r="T75" s="25">
        <f t="shared" si="310"/>
        <v>1418522.2143234741</v>
      </c>
      <c r="U75" s="25">
        <f t="shared" si="311"/>
        <v>776443.85114146117</v>
      </c>
      <c r="V75" s="25"/>
      <c r="W75" s="25">
        <f t="shared" si="147"/>
        <v>15274783.340000004</v>
      </c>
      <c r="X75" s="157">
        <f t="shared" si="228"/>
        <v>-6.269305023214225E-2</v>
      </c>
      <c r="Y75" s="25">
        <f t="shared" si="148"/>
        <v>2647119.9528220007</v>
      </c>
      <c r="Z75" s="25"/>
      <c r="AB75" s="24"/>
      <c r="AC75" s="97"/>
      <c r="AD75" s="97"/>
      <c r="BA75" s="53"/>
      <c r="BB75" s="53"/>
      <c r="BC75" s="53"/>
      <c r="BD75" s="53"/>
      <c r="BE75" s="53"/>
      <c r="BF75" s="53"/>
      <c r="BG75" s="53"/>
      <c r="BI75"/>
      <c r="BL75" s="23" t="s">
        <v>820</v>
      </c>
      <c r="BM75" s="110">
        <v>33372.519999999997</v>
      </c>
      <c r="BN75" s="110">
        <v>52474.86</v>
      </c>
      <c r="BO75" s="111">
        <v>32498.59</v>
      </c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87"/>
      <c r="CE75" s="87"/>
      <c r="DI75" s="6"/>
      <c r="DU75" s="55"/>
      <c r="FP75" s="640"/>
      <c r="FQ75" s="640"/>
      <c r="FR75" s="640"/>
      <c r="FS75" s="640"/>
      <c r="FT75" s="640"/>
      <c r="FU75" s="640"/>
      <c r="FV75" s="640"/>
      <c r="FW75" s="640"/>
      <c r="FX75" s="640"/>
      <c r="FY75" s="640"/>
      <c r="FZ75" s="640"/>
      <c r="GA75" s="640"/>
      <c r="GB75" s="640"/>
      <c r="GC75" s="640"/>
      <c r="GD75" s="640"/>
      <c r="GE75" s="640"/>
      <c r="GF75" s="640"/>
      <c r="GG75" s="640"/>
      <c r="GH75" s="640"/>
      <c r="GI75" s="640"/>
      <c r="GJ75" s="640"/>
      <c r="GK75" s="640"/>
      <c r="GL75" s="619">
        <f>A224</f>
        <v>37434</v>
      </c>
      <c r="GM75" s="620">
        <f>SUM(B222:B224)</f>
        <v>4583589</v>
      </c>
      <c r="GN75" s="620">
        <f>SUM(C222:C224)</f>
        <v>201356</v>
      </c>
      <c r="GO75" s="621">
        <f t="shared" si="321"/>
        <v>192663</v>
      </c>
      <c r="GP75" s="127">
        <f t="shared" si="254"/>
        <v>725091.61679999996</v>
      </c>
      <c r="GQ75" s="127">
        <f t="shared" si="255"/>
        <v>43442.983200000017</v>
      </c>
      <c r="GR75" s="48">
        <f t="shared" si="266"/>
        <v>-76536.5</v>
      </c>
      <c r="GS75" s="289">
        <f t="shared" si="314"/>
        <v>60364.75</v>
      </c>
      <c r="GT75" s="48">
        <f t="shared" si="271"/>
        <v>-306146</v>
      </c>
      <c r="GU75" s="289">
        <f t="shared" si="315"/>
        <v>241459</v>
      </c>
      <c r="GV75" s="622">
        <f t="shared" si="282"/>
        <v>-306146</v>
      </c>
      <c r="GW75" s="622">
        <f t="shared" si="316"/>
        <v>241459</v>
      </c>
      <c r="GX75" s="289">
        <f t="shared" si="317"/>
        <v>-547605</v>
      </c>
      <c r="GY75" s="48">
        <f t="shared" si="318"/>
        <v>-32343.5</v>
      </c>
      <c r="GZ75" s="622">
        <f t="shared" si="269"/>
        <v>15515525</v>
      </c>
      <c r="HA75" s="623">
        <f t="shared" si="322"/>
        <v>-1.9731591422140083E-2</v>
      </c>
      <c r="HB75" s="624">
        <f t="shared" si="323"/>
        <v>-2.2679005545454922</v>
      </c>
      <c r="HC75" s="625">
        <f t="shared" si="319"/>
        <v>7.5107079189853335E-2</v>
      </c>
      <c r="HH75" s="53"/>
      <c r="HI75" s="95"/>
      <c r="HJ75" s="95"/>
      <c r="HK75" s="53"/>
    </row>
    <row r="76" spans="1:219" ht="14">
      <c r="A76" s="24">
        <v>32904</v>
      </c>
      <c r="B76" s="48">
        <f t="shared" si="324"/>
        <v>1139825.47</v>
      </c>
      <c r="C76" s="48">
        <f t="shared" si="325"/>
        <v>-155341.32999999999</v>
      </c>
      <c r="D76" s="25">
        <f t="shared" si="313"/>
        <v>-421417.01999999996</v>
      </c>
      <c r="E76" s="25">
        <f t="shared" si="257"/>
        <v>25751.400833333348</v>
      </c>
      <c r="F76" s="48">
        <f t="shared" si="299"/>
        <v>45940.363499999999</v>
      </c>
      <c r="G76" s="48">
        <f t="shared" si="300"/>
        <v>147702.83837536318</v>
      </c>
      <c r="H76" s="25">
        <f t="shared" si="284"/>
        <v>309016.81000000017</v>
      </c>
      <c r="I76" s="25">
        <f t="shared" si="250"/>
        <v>-56407</v>
      </c>
      <c r="J76" s="25">
        <f t="shared" si="251"/>
        <v>365423.81000000017</v>
      </c>
      <c r="K76" s="25">
        <f>AVERAGE(C74+C75+C76)</f>
        <v>-421417.02</v>
      </c>
      <c r="L76" s="25">
        <f t="shared" si="307"/>
        <v>122396.67000000001</v>
      </c>
      <c r="M76" s="48">
        <f t="shared" si="301"/>
        <v>117125.57416666667</v>
      </c>
      <c r="N76" s="61">
        <f t="shared" si="302"/>
        <v>341346.04025072634</v>
      </c>
      <c r="O76" s="48">
        <f t="shared" si="303"/>
        <v>-249465.31325072635</v>
      </c>
      <c r="P76" s="25">
        <f t="shared" si="308"/>
        <v>347835.3593688212</v>
      </c>
      <c r="Q76" s="25">
        <f t="shared" si="309"/>
        <v>-222153.80880728277</v>
      </c>
      <c r="R76" s="48">
        <f t="shared" si="326"/>
        <v>1139825.47</v>
      </c>
      <c r="S76" s="25">
        <f t="shared" si="320"/>
        <v>291792.67999999993</v>
      </c>
      <c r="T76" s="25">
        <f t="shared" si="310"/>
        <v>1418522.2143234741</v>
      </c>
      <c r="U76" s="25">
        <f t="shared" si="311"/>
        <v>776443.85114146117</v>
      </c>
      <c r="V76" s="25"/>
      <c r="W76" s="25">
        <f t="shared" si="147"/>
        <v>15316722.810000004</v>
      </c>
      <c r="X76" s="157">
        <f t="shared" si="228"/>
        <v>-6.9035072673347617E-2</v>
      </c>
      <c r="Y76" s="25">
        <f t="shared" si="148"/>
        <v>2654388.062973001</v>
      </c>
      <c r="Z76" s="25"/>
      <c r="AB76" s="24"/>
      <c r="AC76" s="97"/>
      <c r="AD76" s="97"/>
      <c r="AG76" s="6" t="s">
        <v>1199</v>
      </c>
      <c r="AI76" s="81">
        <v>1995</v>
      </c>
      <c r="AJ76" s="82">
        <v>1996</v>
      </c>
      <c r="AK76" s="72">
        <v>1997</v>
      </c>
      <c r="AL76" s="72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53"/>
      <c r="BB76" s="53"/>
      <c r="BC76" s="53"/>
      <c r="BD76" s="53"/>
      <c r="BE76" s="53"/>
      <c r="BF76" s="53"/>
      <c r="BG76" s="53"/>
      <c r="BI76"/>
      <c r="BL76" s="23" t="s">
        <v>953</v>
      </c>
      <c r="BM76" s="110">
        <v>83104.649999999994</v>
      </c>
      <c r="BN76" s="110">
        <v>43794.36</v>
      </c>
      <c r="BO76" s="111">
        <v>25100.41</v>
      </c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87"/>
      <c r="CE76" s="87"/>
      <c r="DI76" s="6"/>
      <c r="DU76" s="55"/>
      <c r="FP76" s="640"/>
      <c r="FQ76" s="640"/>
      <c r="FR76" s="640"/>
      <c r="FS76" s="640"/>
      <c r="FT76" s="640"/>
      <c r="FU76" s="640"/>
      <c r="FV76" s="640"/>
      <c r="FW76" s="640"/>
      <c r="FX76" s="640"/>
      <c r="FY76" s="640"/>
      <c r="FZ76" s="640"/>
      <c r="GA76" s="640"/>
      <c r="GB76" s="640"/>
      <c r="GC76" s="640"/>
      <c r="GD76" s="640"/>
      <c r="GE76" s="640"/>
      <c r="GF76" s="640"/>
      <c r="GG76" s="640"/>
      <c r="GH76" s="640"/>
      <c r="GI76" s="640"/>
      <c r="GJ76" s="640"/>
      <c r="GK76" s="640"/>
      <c r="GL76" s="619">
        <f>A227</f>
        <v>37526</v>
      </c>
      <c r="GM76" s="620">
        <f>SUM(B225:B227)</f>
        <v>4099151</v>
      </c>
      <c r="GN76" s="620">
        <f>SUM(C225:C227)</f>
        <v>-253594</v>
      </c>
      <c r="GO76" s="621">
        <f t="shared" si="321"/>
        <v>454950</v>
      </c>
      <c r="GP76" s="127">
        <f t="shared" si="254"/>
        <v>725091.61679999996</v>
      </c>
      <c r="GQ76" s="127">
        <f t="shared" si="255"/>
        <v>43442.983200000017</v>
      </c>
      <c r="GR76" s="48">
        <f t="shared" si="266"/>
        <v>-82821.5</v>
      </c>
      <c r="GS76" s="289">
        <f t="shared" si="314"/>
        <v>67769.25</v>
      </c>
      <c r="GT76" s="48">
        <f t="shared" si="271"/>
        <v>-331286</v>
      </c>
      <c r="GU76" s="289">
        <f t="shared" si="315"/>
        <v>271077</v>
      </c>
      <c r="GV76" s="622">
        <f t="shared" si="282"/>
        <v>-331286</v>
      </c>
      <c r="GW76" s="622">
        <f t="shared" si="316"/>
        <v>271077</v>
      </c>
      <c r="GX76" s="289">
        <f t="shared" si="317"/>
        <v>-602363</v>
      </c>
      <c r="GY76" s="48">
        <f t="shared" si="318"/>
        <v>-30104.5</v>
      </c>
      <c r="GZ76" s="622">
        <f t="shared" si="269"/>
        <v>16104546</v>
      </c>
      <c r="HA76" s="623">
        <f t="shared" si="322"/>
        <v>-2.0570961764460792E-2</v>
      </c>
      <c r="HB76" s="624">
        <f t="shared" si="323"/>
        <v>-2.2221103228971844</v>
      </c>
      <c r="HC76" s="625">
        <f t="shared" si="319"/>
        <v>0.10680719012665792</v>
      </c>
      <c r="HH76" s="53"/>
      <c r="HI76" s="95"/>
      <c r="HJ76" s="95"/>
      <c r="HK76" s="53"/>
    </row>
    <row r="77" spans="1:219" ht="14">
      <c r="A77" s="24">
        <v>32932</v>
      </c>
      <c r="B77" s="48">
        <f t="shared" si="324"/>
        <v>1543435.8</v>
      </c>
      <c r="C77" s="48">
        <f t="shared" si="325"/>
        <v>102522</v>
      </c>
      <c r="D77" s="25">
        <f t="shared" si="313"/>
        <v>-330557.32999999996</v>
      </c>
      <c r="E77" s="25">
        <f t="shared" si="257"/>
        <v>29946.900833333348</v>
      </c>
      <c r="F77" s="48">
        <f t="shared" si="299"/>
        <v>48554.263500000001</v>
      </c>
      <c r="G77" s="48">
        <f t="shared" si="300"/>
        <v>147285.75800718213</v>
      </c>
      <c r="H77" s="25">
        <f t="shared" si="284"/>
        <v>359362.81000000017</v>
      </c>
      <c r="I77" s="25">
        <f t="shared" si="250"/>
        <v>-70835</v>
      </c>
      <c r="J77" s="25">
        <f t="shared" si="251"/>
        <v>430197.81000000017</v>
      </c>
      <c r="K77" s="25"/>
      <c r="L77" s="25">
        <f t="shared" si="307"/>
        <v>257863.33</v>
      </c>
      <c r="M77" s="48">
        <f t="shared" si="301"/>
        <v>120741.62966666667</v>
      </c>
      <c r="N77" s="61">
        <f t="shared" si="302"/>
        <v>343125.77951436426</v>
      </c>
      <c r="O77" s="48">
        <f t="shared" si="303"/>
        <v>-246017.25251436426</v>
      </c>
      <c r="P77" s="25">
        <f t="shared" si="308"/>
        <v>347835.3593688212</v>
      </c>
      <c r="Q77" s="25">
        <f t="shared" si="309"/>
        <v>-222153.80880728277</v>
      </c>
      <c r="R77" s="48">
        <f t="shared" si="326"/>
        <v>1543435.8</v>
      </c>
      <c r="S77" s="25">
        <f t="shared" si="320"/>
        <v>403610.33000000007</v>
      </c>
      <c r="T77" s="25">
        <f t="shared" si="310"/>
        <v>1418522.2143234741</v>
      </c>
      <c r="U77" s="25">
        <f t="shared" si="311"/>
        <v>776443.85114146117</v>
      </c>
      <c r="V77" s="25"/>
      <c r="W77" s="25">
        <f t="shared" si="147"/>
        <v>15454595.610000001</v>
      </c>
      <c r="X77" s="157">
        <f t="shared" si="228"/>
        <v>-6.2293687229901737E-2</v>
      </c>
      <c r="Y77" s="25">
        <f t="shared" si="148"/>
        <v>2678281.4192130002</v>
      </c>
      <c r="Z77" s="25"/>
      <c r="AB77" s="24"/>
      <c r="AC77" s="97"/>
      <c r="AD77" s="97"/>
      <c r="AG77" s="50">
        <f>SUM(AG62:AG73)</f>
        <v>-42654.392999999982</v>
      </c>
      <c r="AH77" s="51" t="s">
        <v>387</v>
      </c>
      <c r="AI77" s="84">
        <v>-12113.88</v>
      </c>
      <c r="AJ77" s="84">
        <v>1639.73</v>
      </c>
      <c r="AK77" s="84">
        <v>-3190.79</v>
      </c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53"/>
      <c r="BB77" s="53"/>
      <c r="BC77" s="53"/>
      <c r="BD77" s="53"/>
      <c r="BE77" s="53"/>
      <c r="BF77" s="53"/>
      <c r="BG77" s="53"/>
      <c r="BI77"/>
      <c r="BL77" s="23" t="s">
        <v>970</v>
      </c>
      <c r="BM77" s="110">
        <v>57579.71</v>
      </c>
      <c r="BN77" s="110">
        <v>60025.440000000002</v>
      </c>
      <c r="BO77" s="111">
        <v>13742.28</v>
      </c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87"/>
      <c r="CE77" s="87"/>
      <c r="DI77" s="6"/>
      <c r="DU77" s="55"/>
      <c r="FP77" s="640"/>
      <c r="FQ77" s="640"/>
      <c r="FR77" s="640"/>
      <c r="FS77" s="640"/>
      <c r="FT77" s="640"/>
      <c r="FU77" s="640"/>
      <c r="FV77" s="640"/>
      <c r="FW77" s="640"/>
      <c r="FX77" s="640"/>
      <c r="FY77" s="640"/>
      <c r="FZ77" s="640"/>
      <c r="GA77" s="640"/>
      <c r="GB77" s="640"/>
      <c r="GC77" s="640"/>
      <c r="GD77" s="640"/>
      <c r="GE77" s="640"/>
      <c r="GF77" s="640"/>
      <c r="GG77" s="640"/>
      <c r="GH77" s="640"/>
      <c r="GI77" s="640"/>
      <c r="GJ77" s="640"/>
      <c r="GK77" s="640"/>
      <c r="GL77" s="563">
        <f>A230</f>
        <v>37617</v>
      </c>
      <c r="GM77" s="215">
        <f>SUM(B228:B230)</f>
        <v>4519298</v>
      </c>
      <c r="GN77" s="215">
        <f>SUM(C228:C230)</f>
        <v>119949</v>
      </c>
      <c r="GO77" s="564">
        <f t="shared" si="321"/>
        <v>373543</v>
      </c>
      <c r="GP77" s="121">
        <f t="shared" ref="GP77:GP97" si="327">$GN$118+1.023*$GO$118</f>
        <v>725091.61679999996</v>
      </c>
      <c r="GQ77" s="121">
        <f t="shared" ref="GQ77:GQ97" si="328">$GN$118-1.023*$GO$118</f>
        <v>43442.983200000017</v>
      </c>
      <c r="GR77" s="565">
        <f t="shared" si="266"/>
        <v>19101</v>
      </c>
      <c r="GS77" s="565">
        <f t="shared" si="314"/>
        <v>41425.5</v>
      </c>
      <c r="GT77" s="565">
        <f t="shared" si="271"/>
        <v>76404</v>
      </c>
      <c r="GU77" s="565">
        <f t="shared" si="315"/>
        <v>165702</v>
      </c>
      <c r="GV77" s="566">
        <f t="shared" si="282"/>
        <v>76404</v>
      </c>
      <c r="GW77" s="566">
        <f t="shared" si="316"/>
        <v>165702</v>
      </c>
      <c r="GX77" s="565">
        <f t="shared" si="317"/>
        <v>-89298</v>
      </c>
      <c r="GY77" s="565">
        <f t="shared" si="318"/>
        <v>121053</v>
      </c>
      <c r="GZ77" s="566">
        <f t="shared" si="269"/>
        <v>17041948</v>
      </c>
      <c r="HA77" s="567">
        <f t="shared" si="322"/>
        <v>4.4832902905231255E-3</v>
      </c>
      <c r="HB77" s="568">
        <f t="shared" si="323"/>
        <v>-0.53890719484375571</v>
      </c>
      <c r="HC77" s="569">
        <f t="shared" si="319"/>
        <v>0.14254211770914846</v>
      </c>
      <c r="HH77" s="53"/>
      <c r="HI77" s="184">
        <f>SUM(HI51:HI62)</f>
        <v>13489594</v>
      </c>
      <c r="HJ77" s="184">
        <f>SUM(HJ51:HJ62)</f>
        <v>1860698</v>
      </c>
      <c r="HK77" s="202" t="s">
        <v>1214</v>
      </c>
    </row>
    <row r="78" spans="1:219" ht="14">
      <c r="A78" s="24">
        <v>32963</v>
      </c>
      <c r="B78" s="48">
        <f t="shared" si="324"/>
        <v>1444828.1599999999</v>
      </c>
      <c r="C78" s="48">
        <f t="shared" si="325"/>
        <v>-35453</v>
      </c>
      <c r="D78" s="25">
        <f t="shared" si="313"/>
        <v>-88272.329999999987</v>
      </c>
      <c r="E78" s="25">
        <f t="shared" si="257"/>
        <v>20159.067500000016</v>
      </c>
      <c r="F78" s="48">
        <f t="shared" si="299"/>
        <v>49767.663500000002</v>
      </c>
      <c r="G78" s="48">
        <f t="shared" si="300"/>
        <v>146268.3674562081</v>
      </c>
      <c r="H78" s="25">
        <f t="shared" si="284"/>
        <v>241908.81000000017</v>
      </c>
      <c r="I78" s="25">
        <f t="shared" si="250"/>
        <v>-15589</v>
      </c>
      <c r="J78" s="25">
        <f t="shared" si="251"/>
        <v>257497.81000000017</v>
      </c>
      <c r="K78" s="25"/>
      <c r="L78" s="25">
        <f t="shared" si="307"/>
        <v>137975</v>
      </c>
      <c r="M78" s="48">
        <f t="shared" si="301"/>
        <v>122142.12966666667</v>
      </c>
      <c r="N78" s="61">
        <f t="shared" si="302"/>
        <v>342304.39841241622</v>
      </c>
      <c r="O78" s="48">
        <f t="shared" si="303"/>
        <v>-242769.0714124162</v>
      </c>
      <c r="P78" s="25">
        <f t="shared" si="308"/>
        <v>347835.3593688212</v>
      </c>
      <c r="Q78" s="25">
        <f t="shared" si="309"/>
        <v>-222153.80880728277</v>
      </c>
      <c r="R78" s="48">
        <f t="shared" si="326"/>
        <v>1444828.1599999999</v>
      </c>
      <c r="S78" s="25">
        <f t="shared" si="320"/>
        <v>98607.64000000013</v>
      </c>
      <c r="T78" s="25">
        <f t="shared" si="310"/>
        <v>1418522.2143234741</v>
      </c>
      <c r="U78" s="25">
        <f t="shared" si="311"/>
        <v>776443.85114146117</v>
      </c>
      <c r="V78" s="25"/>
      <c r="W78" s="25">
        <f t="shared" si="147"/>
        <v>15552371.770000001</v>
      </c>
      <c r="X78" s="157">
        <f t="shared" si="228"/>
        <v>-6.0985585941976346E-2</v>
      </c>
      <c r="Y78" s="25">
        <f t="shared" si="148"/>
        <v>2695226.0277410005</v>
      </c>
      <c r="Z78" s="25"/>
      <c r="AB78" s="24"/>
      <c r="AC78" s="97"/>
      <c r="AD78" s="97"/>
      <c r="AG78" s="6" t="s">
        <v>230</v>
      </c>
      <c r="AH78" s="51" t="s">
        <v>496</v>
      </c>
      <c r="AI78" s="84">
        <v>3313.4</v>
      </c>
      <c r="AJ78" s="84">
        <v>2315.37</v>
      </c>
      <c r="AK78" s="84">
        <v>-6496.77</v>
      </c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53"/>
      <c r="BB78" s="53"/>
      <c r="BC78" s="53"/>
      <c r="BD78" s="53"/>
      <c r="BE78" s="53"/>
      <c r="BF78" s="53"/>
      <c r="BG78" s="53"/>
      <c r="BI78"/>
      <c r="BL78" s="23" t="s">
        <v>972</v>
      </c>
      <c r="BM78" s="110">
        <v>53046.76</v>
      </c>
      <c r="BN78" s="110">
        <v>50250.16</v>
      </c>
      <c r="BO78" s="111">
        <v>83692.41</v>
      </c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87"/>
      <c r="CE78" s="87"/>
      <c r="DI78" s="6"/>
      <c r="DU78" s="55"/>
      <c r="GF78" s="6"/>
      <c r="GG78" s="6"/>
      <c r="GL78" s="619">
        <f>A233</f>
        <v>37707</v>
      </c>
      <c r="GM78" s="620">
        <f>SUM(B231:B233)</f>
        <v>3484090</v>
      </c>
      <c r="GN78" s="620">
        <f>SUM(C231:C233)</f>
        <v>-470473</v>
      </c>
      <c r="GO78" s="621">
        <f t="shared" si="321"/>
        <v>590422</v>
      </c>
      <c r="GP78" s="127">
        <f t="shared" si="327"/>
        <v>725091.61679999996</v>
      </c>
      <c r="GQ78" s="127">
        <f t="shared" si="328"/>
        <v>43442.983200000017</v>
      </c>
      <c r="GR78" s="48">
        <f t="shared" si="266"/>
        <v>-100690.5</v>
      </c>
      <c r="GS78" s="289">
        <f t="shared" si="314"/>
        <v>74391.25</v>
      </c>
      <c r="GT78" s="48">
        <f t="shared" si="271"/>
        <v>-402762</v>
      </c>
      <c r="GU78" s="289">
        <f t="shared" si="315"/>
        <v>297565</v>
      </c>
      <c r="GV78" s="622">
        <f t="shared" si="282"/>
        <v>-402762</v>
      </c>
      <c r="GW78" s="622">
        <f t="shared" si="316"/>
        <v>297565</v>
      </c>
      <c r="GX78" s="289">
        <f t="shared" si="317"/>
        <v>-700327</v>
      </c>
      <c r="GY78" s="48">
        <f t="shared" si="318"/>
        <v>-52598.5</v>
      </c>
      <c r="GZ78" s="622">
        <f t="shared" si="269"/>
        <v>16686128</v>
      </c>
      <c r="HA78" s="623">
        <f t="shared" si="322"/>
        <v>-2.4137535083034244E-2</v>
      </c>
      <c r="HB78" s="624">
        <f t="shared" si="323"/>
        <v>-2.3535261203434543</v>
      </c>
      <c r="HC78" s="625">
        <f t="shared" si="319"/>
        <v>6.4737468548977384E-2</v>
      </c>
      <c r="HG78" s="53"/>
      <c r="HH78" s="244"/>
      <c r="HI78" s="184"/>
      <c r="HJ78" s="53"/>
      <c r="HK78" s="53"/>
    </row>
    <row r="79" spans="1:219" ht="14">
      <c r="A79" s="24">
        <v>32993</v>
      </c>
      <c r="B79" s="48">
        <f t="shared" si="324"/>
        <v>1323478.98</v>
      </c>
      <c r="C79" s="48">
        <f t="shared" si="325"/>
        <v>-166479.47</v>
      </c>
      <c r="D79" s="25">
        <f t="shared" si="313"/>
        <v>-99410.47</v>
      </c>
      <c r="E79" s="25">
        <f t="shared" ref="E79:E86" si="329">AVERAGE(C68:C79)</f>
        <v>-5039.1824999999953</v>
      </c>
      <c r="F79" s="48">
        <f t="shared" si="299"/>
        <v>44450.538999999997</v>
      </c>
      <c r="G79" s="48">
        <f t="shared" si="300"/>
        <v>148253.92784569744</v>
      </c>
      <c r="H79" s="25">
        <f t="shared" si="284"/>
        <v>-60470.189999999944</v>
      </c>
      <c r="I79" s="25">
        <f t="shared" si="250"/>
        <v>-38426.47</v>
      </c>
      <c r="J79" s="25">
        <f t="shared" si="251"/>
        <v>-22043.719999999943</v>
      </c>
      <c r="K79" s="25"/>
      <c r="L79" s="25">
        <f t="shared" si="307"/>
        <v>131026.47</v>
      </c>
      <c r="M79" s="48">
        <f t="shared" si="301"/>
        <v>119979.15416666666</v>
      </c>
      <c r="N79" s="61">
        <f t="shared" si="302"/>
        <v>340958.39469139487</v>
      </c>
      <c r="O79" s="48">
        <f t="shared" si="303"/>
        <v>-252057.3166913949</v>
      </c>
      <c r="P79" s="25">
        <f t="shared" si="308"/>
        <v>347835.3593688212</v>
      </c>
      <c r="Q79" s="25">
        <f t="shared" si="309"/>
        <v>-222153.80880728277</v>
      </c>
      <c r="R79" s="48">
        <f t="shared" si="326"/>
        <v>1323478.98</v>
      </c>
      <c r="S79" s="25">
        <f t="shared" si="320"/>
        <v>121349.17999999993</v>
      </c>
      <c r="T79" s="25">
        <f t="shared" si="310"/>
        <v>1418522.2143234741</v>
      </c>
      <c r="U79" s="25">
        <f t="shared" si="311"/>
        <v>776443.85114146117</v>
      </c>
      <c r="V79" s="25"/>
      <c r="W79" s="25">
        <f t="shared" si="147"/>
        <v>15394347.600000003</v>
      </c>
      <c r="X79" s="157">
        <f t="shared" si="228"/>
        <v>-7.4618572131969083E-2</v>
      </c>
      <c r="Y79" s="25">
        <f t="shared" si="148"/>
        <v>2667840.4390800009</v>
      </c>
      <c r="Z79" s="25"/>
      <c r="AB79" s="24"/>
      <c r="AC79" s="97"/>
      <c r="AD79" s="97"/>
      <c r="AH79" s="51" t="s">
        <v>497</v>
      </c>
      <c r="AI79" s="84">
        <v>-2660.3</v>
      </c>
      <c r="AJ79" s="84">
        <v>2526.88</v>
      </c>
      <c r="AK79" s="84">
        <v>-15000</v>
      </c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53"/>
      <c r="BB79" s="53"/>
      <c r="BC79" s="53"/>
      <c r="BD79" s="53"/>
      <c r="BE79" s="53"/>
      <c r="BF79" s="53"/>
      <c r="BG79" s="53"/>
      <c r="BI79"/>
      <c r="BL79" s="23" t="s">
        <v>740</v>
      </c>
      <c r="BM79" s="110">
        <v>40290.31</v>
      </c>
      <c r="BN79" s="110">
        <v>50642.41</v>
      </c>
      <c r="BO79" s="111">
        <v>-422.09</v>
      </c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87"/>
      <c r="CE79" s="87"/>
      <c r="DI79" s="6"/>
      <c r="DU79" s="55"/>
      <c r="GF79" s="6"/>
      <c r="GG79" s="6"/>
      <c r="GL79" s="619">
        <f>A236</f>
        <v>37799</v>
      </c>
      <c r="GM79" s="620">
        <f>SUM(B234:B236)</f>
        <v>5743727</v>
      </c>
      <c r="GN79" s="620">
        <f>SUM(C234:C236)</f>
        <v>1042292</v>
      </c>
      <c r="GO79" s="621">
        <f t="shared" si="321"/>
        <v>1512765</v>
      </c>
      <c r="GP79" s="127">
        <f t="shared" si="327"/>
        <v>725091.61679999996</v>
      </c>
      <c r="GQ79" s="127">
        <f t="shared" si="328"/>
        <v>43442.983200000017</v>
      </c>
      <c r="GR79" s="48">
        <f t="shared" si="266"/>
        <v>109543.5</v>
      </c>
      <c r="GS79" s="289">
        <f t="shared" si="314"/>
        <v>-76536.5</v>
      </c>
      <c r="GT79" s="48">
        <f t="shared" si="271"/>
        <v>438174</v>
      </c>
      <c r="GU79" s="289">
        <f t="shared" si="315"/>
        <v>-306146</v>
      </c>
      <c r="GV79" s="622">
        <f t="shared" si="282"/>
        <v>438174</v>
      </c>
      <c r="GW79" s="622">
        <f t="shared" si="316"/>
        <v>-306146</v>
      </c>
      <c r="GX79" s="289">
        <f t="shared" si="317"/>
        <v>744320</v>
      </c>
      <c r="GY79" s="48">
        <f t="shared" si="318"/>
        <v>66014</v>
      </c>
      <c r="GZ79" s="622">
        <f t="shared" si="269"/>
        <v>17846266</v>
      </c>
      <c r="HA79" s="623">
        <f t="shared" si="322"/>
        <v>2.4552699147261395E-2</v>
      </c>
      <c r="HB79" s="624">
        <f t="shared" si="323"/>
        <v>-2.4312582885290026</v>
      </c>
      <c r="HC79" s="625">
        <f t="shared" si="319"/>
        <v>0.15021992488169109</v>
      </c>
      <c r="HG79" s="53"/>
      <c r="HH79" s="184"/>
      <c r="HI79" s="184">
        <f>SUM(HJ39:HJ62)</f>
        <v>2982603</v>
      </c>
      <c r="HJ79" s="202" t="s">
        <v>1618</v>
      </c>
      <c r="HK79" s="53"/>
    </row>
    <row r="80" spans="1:219" ht="14">
      <c r="A80" s="24">
        <v>33024</v>
      </c>
      <c r="B80" s="48">
        <f t="shared" si="324"/>
        <v>1896958.9600000002</v>
      </c>
      <c r="C80" s="48">
        <f t="shared" si="325"/>
        <v>332775.67999999999</v>
      </c>
      <c r="D80" s="25">
        <f t="shared" si="313"/>
        <v>130843.20999999999</v>
      </c>
      <c r="E80" s="25">
        <f t="shared" si="329"/>
        <v>7851.3108333333366</v>
      </c>
      <c r="F80" s="48">
        <f t="shared" si="299"/>
        <v>47132.650333333331</v>
      </c>
      <c r="G80" s="48">
        <f t="shared" si="300"/>
        <v>152006.00991543097</v>
      </c>
      <c r="H80" s="25">
        <f t="shared" si="284"/>
        <v>94215.73000000004</v>
      </c>
      <c r="I80" s="25">
        <f t="shared" si="250"/>
        <v>25939.290000000008</v>
      </c>
      <c r="J80" s="25">
        <f t="shared" si="251"/>
        <v>68276.440000000031</v>
      </c>
      <c r="K80" s="25"/>
      <c r="L80" s="25">
        <f t="shared" si="307"/>
        <v>499255.15</v>
      </c>
      <c r="M80" s="48">
        <f t="shared" si="301"/>
        <v>127978.39</v>
      </c>
      <c r="N80" s="61">
        <f t="shared" si="302"/>
        <v>351144.6701641953</v>
      </c>
      <c r="O80" s="48">
        <f t="shared" si="303"/>
        <v>-256879.36949752862</v>
      </c>
      <c r="P80" s="25">
        <f t="shared" si="308"/>
        <v>347835.3593688212</v>
      </c>
      <c r="Q80" s="25">
        <f t="shared" si="309"/>
        <v>-222153.80880728277</v>
      </c>
      <c r="R80" s="48">
        <f t="shared" si="326"/>
        <v>1896958.9600000002</v>
      </c>
      <c r="S80" s="25">
        <f t="shared" si="320"/>
        <v>573479.98000000021</v>
      </c>
      <c r="T80" s="25">
        <f t="shared" si="310"/>
        <v>1418522.2143234741</v>
      </c>
      <c r="U80" s="25">
        <f t="shared" si="311"/>
        <v>776443.85114146117</v>
      </c>
      <c r="V80" s="25"/>
      <c r="W80" s="25">
        <f t="shared" ref="W80:W143" si="330">SUM(R69:R80)</f>
        <v>15798152.560000002</v>
      </c>
      <c r="X80" s="157">
        <f t="shared" si="228"/>
        <v>-4.2156620958845738E-2</v>
      </c>
      <c r="Y80" s="25">
        <f t="shared" ref="Y80:Y143" si="331">W80*0.1733</f>
        <v>2737819.8386480007</v>
      </c>
      <c r="Z80" s="25"/>
      <c r="AB80" s="24"/>
      <c r="AC80" s="97"/>
      <c r="AD80" s="97"/>
      <c r="AH80" s="51" t="s">
        <v>820</v>
      </c>
      <c r="AI80" s="84">
        <v>-17127.169999999998</v>
      </c>
      <c r="AJ80" s="84">
        <v>-3805.6000000000058</v>
      </c>
      <c r="AK80" s="84">
        <v>-11272.59</v>
      </c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53"/>
      <c r="BB80" s="53"/>
      <c r="BC80" s="53"/>
      <c r="BD80" s="53"/>
      <c r="BE80" s="53"/>
      <c r="BF80" s="53"/>
      <c r="BG80" s="53"/>
      <c r="BI80"/>
      <c r="BL80" s="23" t="s">
        <v>668</v>
      </c>
      <c r="BM80" s="110">
        <v>32749.29</v>
      </c>
      <c r="BN80" s="110">
        <v>57233.18</v>
      </c>
      <c r="BO80" s="111">
        <v>0</v>
      </c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87"/>
      <c r="CE80" s="87"/>
      <c r="DI80" s="6"/>
      <c r="DU80" s="55"/>
      <c r="GF80" s="6"/>
      <c r="GG80" s="6"/>
      <c r="GL80" s="619">
        <f>A239</f>
        <v>37891</v>
      </c>
      <c r="GM80" s="620">
        <f>SUM(B237:B239)</f>
        <v>5400084</v>
      </c>
      <c r="GN80" s="620">
        <f>SUM(C237:C239)</f>
        <v>516082</v>
      </c>
      <c r="GO80" s="621">
        <f t="shared" si="321"/>
        <v>526210</v>
      </c>
      <c r="GP80" s="127">
        <f t="shared" si="327"/>
        <v>725091.61679999996</v>
      </c>
      <c r="GQ80" s="127">
        <f t="shared" si="328"/>
        <v>43442.983200000017</v>
      </c>
      <c r="GR80" s="48">
        <f t="shared" si="266"/>
        <v>301962.5</v>
      </c>
      <c r="GS80" s="289">
        <f t="shared" si="314"/>
        <v>-82821.5</v>
      </c>
      <c r="GT80" s="48">
        <f t="shared" si="271"/>
        <v>1207850</v>
      </c>
      <c r="GU80" s="289">
        <f t="shared" si="315"/>
        <v>-331286</v>
      </c>
      <c r="GV80" s="622">
        <f t="shared" si="282"/>
        <v>1207850</v>
      </c>
      <c r="GW80" s="622">
        <f t="shared" si="316"/>
        <v>-331286</v>
      </c>
      <c r="GX80" s="289">
        <f t="shared" si="317"/>
        <v>1539136</v>
      </c>
      <c r="GY80" s="48">
        <f t="shared" si="318"/>
        <v>438282</v>
      </c>
      <c r="GZ80" s="622">
        <f t="shared" si="269"/>
        <v>19147199</v>
      </c>
      <c r="HA80" s="623">
        <f t="shared" si="322"/>
        <v>6.3082333870348353E-2</v>
      </c>
      <c r="HB80" s="624">
        <f t="shared" si="323"/>
        <v>-4.6459433842661628</v>
      </c>
      <c r="HC80" s="625">
        <f t="shared" si="319"/>
        <v>0.18893131169298408</v>
      </c>
      <c r="HD80" s="53"/>
      <c r="HE80" s="53"/>
      <c r="HF80" s="53"/>
      <c r="HG80" s="53"/>
      <c r="HH80" s="53"/>
      <c r="HI80" s="53"/>
      <c r="HJ80" s="53"/>
      <c r="HK80" s="53"/>
    </row>
    <row r="81" spans="1:219" ht="14">
      <c r="A81" s="24">
        <v>33054</v>
      </c>
      <c r="B81" s="48">
        <f t="shared" si="324"/>
        <v>1435805.79</v>
      </c>
      <c r="C81" s="48">
        <f t="shared" si="325"/>
        <v>-117540</v>
      </c>
      <c r="D81" s="25">
        <f t="shared" si="313"/>
        <v>48756.209999999992</v>
      </c>
      <c r="E81" s="25">
        <f t="shared" si="329"/>
        <v>2447.3941666666701</v>
      </c>
      <c r="F81" s="48">
        <f t="shared" si="299"/>
        <v>43922.350333333336</v>
      </c>
      <c r="G81" s="48">
        <f t="shared" si="300"/>
        <v>153433.11763301486</v>
      </c>
      <c r="H81" s="25">
        <f t="shared" si="284"/>
        <v>29368.73000000004</v>
      </c>
      <c r="I81" s="25">
        <f t="shared" si="250"/>
        <v>-332265.70999999996</v>
      </c>
      <c r="J81" s="25">
        <f t="shared" si="251"/>
        <v>361634.44</v>
      </c>
      <c r="K81" s="25"/>
      <c r="L81" s="25">
        <f t="shared" si="307"/>
        <v>450315.68</v>
      </c>
      <c r="M81" s="48">
        <f t="shared" si="301"/>
        <v>133870.80133333334</v>
      </c>
      <c r="N81" s="61">
        <f t="shared" si="302"/>
        <v>350788.58559936308</v>
      </c>
      <c r="O81" s="48">
        <f t="shared" si="303"/>
        <v>-262943.88493269635</v>
      </c>
      <c r="P81" s="25">
        <f t="shared" si="308"/>
        <v>347835.3593688212</v>
      </c>
      <c r="Q81" s="25">
        <f t="shared" si="309"/>
        <v>-222153.80880728277</v>
      </c>
      <c r="R81" s="48">
        <f t="shared" si="326"/>
        <v>1435805.79</v>
      </c>
      <c r="S81" s="25">
        <f t="shared" si="320"/>
        <v>461153.17000000016</v>
      </c>
      <c r="T81" s="25">
        <f t="shared" si="310"/>
        <v>1418522.2143234741</v>
      </c>
      <c r="U81" s="25">
        <f t="shared" si="311"/>
        <v>776443.85114146117</v>
      </c>
      <c r="V81" s="25"/>
      <c r="W81" s="25">
        <f t="shared" si="330"/>
        <v>15986310.949999999</v>
      </c>
      <c r="X81" s="157">
        <f t="shared" si="228"/>
        <v>-1.8800270604785178E-2</v>
      </c>
      <c r="Y81" s="25">
        <f t="shared" si="331"/>
        <v>2770427.6876349999</v>
      </c>
      <c r="Z81" s="25"/>
      <c r="AB81" s="24"/>
      <c r="AC81" s="97"/>
      <c r="AD81" s="97"/>
      <c r="AF81" s="80" t="s">
        <v>414</v>
      </c>
      <c r="AH81" s="51" t="s">
        <v>953</v>
      </c>
      <c r="AI81" s="84">
        <v>16155.68</v>
      </c>
      <c r="AJ81" s="84">
        <v>738.54999999999927</v>
      </c>
      <c r="AK81" s="84">
        <v>-15569.17</v>
      </c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53"/>
      <c r="BB81" s="53"/>
      <c r="BC81" s="53"/>
      <c r="BD81" s="53"/>
      <c r="BE81" s="53"/>
      <c r="BF81" s="53"/>
      <c r="BG81" s="53"/>
      <c r="BL81" s="23" t="s">
        <v>1290</v>
      </c>
      <c r="BM81" s="110">
        <v>34385.86</v>
      </c>
      <c r="BN81" s="110">
        <v>67521.05</v>
      </c>
      <c r="BO81" s="111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87"/>
      <c r="CE81" s="87"/>
      <c r="DI81" s="6"/>
      <c r="DU81" s="55"/>
      <c r="GF81" s="6"/>
      <c r="GG81" s="6"/>
      <c r="GL81" s="563">
        <f>A242</f>
        <v>37982</v>
      </c>
      <c r="GM81" s="215">
        <f>SUM(B240:B242)</f>
        <v>5774029</v>
      </c>
      <c r="GN81" s="215">
        <f>SUM(C240:C242)</f>
        <v>383571</v>
      </c>
      <c r="GO81" s="564">
        <f t="shared" si="321"/>
        <v>132511</v>
      </c>
      <c r="GP81" s="121">
        <f t="shared" si="327"/>
        <v>725091.61679999996</v>
      </c>
      <c r="GQ81" s="121">
        <f t="shared" si="328"/>
        <v>43442.983200000017</v>
      </c>
      <c r="GR81" s="565">
        <f t="shared" si="266"/>
        <v>367868</v>
      </c>
      <c r="GS81" s="565">
        <f t="shared" si="314"/>
        <v>19101</v>
      </c>
      <c r="GT81" s="565">
        <f t="shared" si="271"/>
        <v>1471472</v>
      </c>
      <c r="GU81" s="565">
        <f t="shared" si="315"/>
        <v>76404</v>
      </c>
      <c r="GV81" s="566">
        <f t="shared" si="282"/>
        <v>1471472</v>
      </c>
      <c r="GW81" s="566">
        <f t="shared" si="316"/>
        <v>76404</v>
      </c>
      <c r="GX81" s="565">
        <f t="shared" si="317"/>
        <v>1395068</v>
      </c>
      <c r="GY81" s="565">
        <f t="shared" si="318"/>
        <v>773938</v>
      </c>
      <c r="GZ81" s="566">
        <f t="shared" si="269"/>
        <v>20401930</v>
      </c>
      <c r="HA81" s="567">
        <f t="shared" si="322"/>
        <v>7.2124156881236232E-2</v>
      </c>
      <c r="HB81" s="568">
        <f t="shared" si="323"/>
        <v>18.259096382388357</v>
      </c>
      <c r="HC81" s="569">
        <f t="shared" si="319"/>
        <v>0.19715950312722466</v>
      </c>
      <c r="HD81" s="53"/>
      <c r="HE81" s="53"/>
      <c r="HF81" s="53"/>
      <c r="HG81" s="53"/>
      <c r="HH81" s="53"/>
      <c r="HI81" s="53"/>
      <c r="HJ81" s="53"/>
      <c r="HK81" s="53"/>
    </row>
    <row r="82" spans="1:219" ht="14">
      <c r="A82" s="24">
        <v>33085</v>
      </c>
      <c r="B82" s="48">
        <f t="shared" si="324"/>
        <v>1724411.4</v>
      </c>
      <c r="C82" s="48">
        <f t="shared" si="325"/>
        <v>140168</v>
      </c>
      <c r="D82" s="25">
        <f t="shared" si="313"/>
        <v>355403.68</v>
      </c>
      <c r="E82" s="25">
        <f t="shared" si="329"/>
        <v>11441.394166666671</v>
      </c>
      <c r="F82" s="48">
        <f t="shared" si="299"/>
        <v>44520.650333333331</v>
      </c>
      <c r="G82" s="48">
        <f t="shared" si="300"/>
        <v>153742.10643067263</v>
      </c>
      <c r="H82" s="25">
        <f t="shared" si="284"/>
        <v>137296.73000000004</v>
      </c>
      <c r="I82" s="25">
        <f t="shared" si="250"/>
        <v>-378658.70999999996</v>
      </c>
      <c r="J82" s="25">
        <f t="shared" si="251"/>
        <v>515955.44</v>
      </c>
      <c r="K82" s="25"/>
      <c r="L82" s="25">
        <f t="shared" si="307"/>
        <v>257708</v>
      </c>
      <c r="M82" s="48">
        <f t="shared" si="301"/>
        <v>137679.40133333334</v>
      </c>
      <c r="N82" s="61">
        <f t="shared" si="302"/>
        <v>352004.86319467862</v>
      </c>
      <c r="O82" s="48">
        <f t="shared" si="303"/>
        <v>-262963.56252801191</v>
      </c>
      <c r="P82" s="25">
        <f t="shared" si="308"/>
        <v>347835.3593688212</v>
      </c>
      <c r="Q82" s="25">
        <f t="shared" si="309"/>
        <v>-222153.80880728277</v>
      </c>
      <c r="R82" s="48">
        <f t="shared" si="326"/>
        <v>1724411.4</v>
      </c>
      <c r="S82" s="25">
        <f t="shared" si="320"/>
        <v>288605.60999999987</v>
      </c>
      <c r="T82" s="25">
        <f t="shared" si="310"/>
        <v>1418522.2143234741</v>
      </c>
      <c r="U82" s="25">
        <f t="shared" si="311"/>
        <v>776443.85114146117</v>
      </c>
      <c r="V82" s="25"/>
      <c r="W82" s="25">
        <f t="shared" si="330"/>
        <v>16466877.350000003</v>
      </c>
      <c r="X82" s="157">
        <f t="shared" si="228"/>
        <v>3.1730106766942275E-2</v>
      </c>
      <c r="Y82" s="25">
        <f t="shared" si="331"/>
        <v>2853709.8447550009</v>
      </c>
      <c r="Z82" s="25"/>
      <c r="AB82" s="24"/>
      <c r="AC82" s="97"/>
      <c r="AD82" s="97"/>
      <c r="AF82" s="85">
        <f>AI82*1.55</f>
        <v>-6901.5300000000007</v>
      </c>
      <c r="AH82" s="51" t="s">
        <v>970</v>
      </c>
      <c r="AI82" s="84">
        <v>-4452.6000000000004</v>
      </c>
      <c r="AJ82" s="84">
        <v>2232.0500000000002</v>
      </c>
      <c r="AK82" s="84">
        <v>-42809.79</v>
      </c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53"/>
      <c r="BB82" s="53"/>
      <c r="BC82" s="53"/>
      <c r="BD82" s="53"/>
      <c r="BE82" s="53"/>
      <c r="BF82" s="53"/>
      <c r="BG82" s="53"/>
      <c r="BL82" s="23" t="s">
        <v>726</v>
      </c>
      <c r="BM82" s="110">
        <v>23833.64</v>
      </c>
      <c r="BN82" s="110">
        <v>58500.19</v>
      </c>
      <c r="BO82" s="111"/>
      <c r="BP82" s="110"/>
      <c r="BQ82" s="110"/>
      <c r="BR82" s="110"/>
      <c r="BS82" s="110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61"/>
      <c r="CE82" s="61"/>
      <c r="DI82" s="6"/>
      <c r="DU82" s="55"/>
      <c r="GF82" s="6"/>
      <c r="GG82" s="6"/>
      <c r="GL82" s="619">
        <f>A245</f>
        <v>38073</v>
      </c>
      <c r="GM82" s="620">
        <f>SUM(B243:B245)</f>
        <v>4800812</v>
      </c>
      <c r="GN82" s="620">
        <f>SUM(C243:C245)</f>
        <v>397361</v>
      </c>
      <c r="GO82" s="621">
        <f t="shared" si="321"/>
        <v>13790</v>
      </c>
      <c r="GP82" s="127">
        <f t="shared" si="327"/>
        <v>725091.61679999996</v>
      </c>
      <c r="GQ82" s="127">
        <f t="shared" si="328"/>
        <v>43442.983200000017</v>
      </c>
      <c r="GR82" s="48">
        <f t="shared" si="266"/>
        <v>584826.5</v>
      </c>
      <c r="GS82" s="289">
        <f t="shared" ref="GS82:GS89" si="332">GR78</f>
        <v>-100690.5</v>
      </c>
      <c r="GT82" s="48">
        <f t="shared" si="271"/>
        <v>2339306</v>
      </c>
      <c r="GU82" s="289">
        <f t="shared" ref="GU82:GU89" si="333">GT78</f>
        <v>-402762</v>
      </c>
      <c r="GV82" s="622">
        <f t="shared" si="282"/>
        <v>2339306</v>
      </c>
      <c r="GW82" s="622">
        <f t="shared" ref="GW82:GW89" si="334">GV78</f>
        <v>-402762</v>
      </c>
      <c r="GX82" s="289">
        <f t="shared" ref="GX82:GX89" si="335">GV82-GW82</f>
        <v>2742068</v>
      </c>
      <c r="GY82" s="48">
        <f t="shared" ref="GY82:GY89" si="336">(GV82+GW82)/2</f>
        <v>968272</v>
      </c>
      <c r="GZ82" s="622">
        <f t="shared" si="269"/>
        <v>21718652</v>
      </c>
      <c r="HA82" s="623">
        <f t="shared" ref="HA82:HA89" si="337">GV82/GZ82</f>
        <v>0.1077095392476476</v>
      </c>
      <c r="HB82" s="624">
        <f t="shared" ref="HB82:HB89" si="338">GX82/GW82</f>
        <v>-6.8081596575645174</v>
      </c>
      <c r="HC82" s="625">
        <f t="shared" ref="HC82:HC89" si="339">(GZ82-GZ78)/GZ78</f>
        <v>0.30159926856608077</v>
      </c>
      <c r="HD82" s="53"/>
      <c r="HE82" s="53"/>
      <c r="HF82" s="53"/>
      <c r="HG82" s="53"/>
      <c r="HH82" s="53"/>
      <c r="HI82" s="53"/>
      <c r="HJ82" s="53"/>
      <c r="HK82" s="53"/>
    </row>
    <row r="83" spans="1:219" ht="15" thickBot="1">
      <c r="A83" s="24">
        <v>33116</v>
      </c>
      <c r="B83" s="48">
        <f t="shared" si="324"/>
        <v>1752081.4</v>
      </c>
      <c r="C83" s="48">
        <f t="shared" si="325"/>
        <v>218010</v>
      </c>
      <c r="D83" s="25">
        <f t="shared" si="313"/>
        <v>240638</v>
      </c>
      <c r="E83" s="25">
        <f t="shared" si="329"/>
        <v>26783.526666666668</v>
      </c>
      <c r="F83" s="48">
        <f t="shared" si="299"/>
        <v>45202.53366666667</v>
      </c>
      <c r="G83" s="48">
        <f t="shared" si="300"/>
        <v>154429.2745892021</v>
      </c>
      <c r="H83" s="25">
        <f t="shared" si="284"/>
        <v>321402.32</v>
      </c>
      <c r="I83" s="25">
        <f t="shared" si="250"/>
        <v>-390074.29999999993</v>
      </c>
      <c r="J83" s="25">
        <f t="shared" si="251"/>
        <v>711476.61999999988</v>
      </c>
      <c r="K83" s="25"/>
      <c r="L83" s="25">
        <f t="shared" si="307"/>
        <v>77842</v>
      </c>
      <c r="M83" s="48">
        <f t="shared" si="301"/>
        <v>137762.98466666666</v>
      </c>
      <c r="N83" s="61">
        <f t="shared" si="302"/>
        <v>354061.08284507087</v>
      </c>
      <c r="O83" s="48">
        <f t="shared" si="303"/>
        <v>-263656.01551173755</v>
      </c>
      <c r="P83" s="25">
        <f t="shared" si="308"/>
        <v>347835.3593688212</v>
      </c>
      <c r="Q83" s="25">
        <f t="shared" si="309"/>
        <v>-222153.80880728277</v>
      </c>
      <c r="R83" s="48">
        <f t="shared" si="326"/>
        <v>1752081.4</v>
      </c>
      <c r="S83" s="25">
        <f t="shared" si="320"/>
        <v>27670</v>
      </c>
      <c r="T83" s="25">
        <f t="shared" si="310"/>
        <v>1418522.2143234741</v>
      </c>
      <c r="U83" s="25">
        <f t="shared" si="311"/>
        <v>776443.85114146117</v>
      </c>
      <c r="V83" s="25"/>
      <c r="W83" s="25">
        <f t="shared" si="330"/>
        <v>16925632.950000003</v>
      </c>
      <c r="X83" s="157">
        <f t="shared" si="228"/>
        <v>6.8976945877940232E-2</v>
      </c>
      <c r="Y83" s="25">
        <f t="shared" si="331"/>
        <v>2933212.1902350006</v>
      </c>
      <c r="Z83" s="25"/>
      <c r="AB83" s="24"/>
      <c r="AC83" s="97"/>
      <c r="AD83" s="97"/>
      <c r="AF83" s="85">
        <f>AI83*1.55</f>
        <v>-4622.0225</v>
      </c>
      <c r="AH83" s="51" t="s">
        <v>972</v>
      </c>
      <c r="AI83" s="84">
        <v>-2981.95</v>
      </c>
      <c r="AJ83" s="84">
        <v>1670.85</v>
      </c>
      <c r="AK83" s="84">
        <v>-86295.63</v>
      </c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53"/>
      <c r="BB83" s="53"/>
      <c r="BC83" s="53"/>
      <c r="BD83" s="53"/>
      <c r="BE83" s="53"/>
      <c r="BF83" s="53"/>
      <c r="BG83" s="53"/>
      <c r="BL83" s="112" t="s">
        <v>727</v>
      </c>
      <c r="BM83" s="113">
        <v>20777.689999999999</v>
      </c>
      <c r="BN83" s="113">
        <v>37790.28</v>
      </c>
      <c r="BO83" s="114"/>
      <c r="BP83" s="113"/>
      <c r="BQ83" s="113"/>
      <c r="BR83" s="113"/>
      <c r="BS83" s="113"/>
      <c r="BT83" s="128"/>
      <c r="BU83" s="128"/>
      <c r="BV83" s="128"/>
      <c r="BW83" s="128"/>
      <c r="BX83" s="128"/>
      <c r="BY83" s="128"/>
      <c r="BZ83" s="128"/>
      <c r="CA83" s="128"/>
      <c r="CB83" s="128"/>
      <c r="CC83" s="128"/>
      <c r="DI83" s="6"/>
      <c r="DU83" s="55"/>
      <c r="GF83" s="6"/>
      <c r="GG83" s="6"/>
      <c r="GL83" s="619">
        <f>A248</f>
        <v>38165</v>
      </c>
      <c r="GM83" s="620">
        <f>SUM(B246:B248)</f>
        <v>7571472</v>
      </c>
      <c r="GN83" s="620">
        <f>SUM(C246:C248)</f>
        <v>1936231</v>
      </c>
      <c r="GO83" s="621">
        <f>((GN83-GN82)^2)^0.5</f>
        <v>1538870</v>
      </c>
      <c r="GP83" s="127">
        <f t="shared" si="327"/>
        <v>725091.61679999996</v>
      </c>
      <c r="GQ83" s="127">
        <f t="shared" si="328"/>
        <v>43442.983200000017</v>
      </c>
      <c r="GR83" s="48">
        <f t="shared" ref="GR83:GR93" si="340">AVERAGE(GN80:GN83)</f>
        <v>808311.25</v>
      </c>
      <c r="GS83" s="289">
        <f t="shared" si="332"/>
        <v>109543.5</v>
      </c>
      <c r="GT83" s="48">
        <f t="shared" si="271"/>
        <v>3233245</v>
      </c>
      <c r="GU83" s="289">
        <f t="shared" si="333"/>
        <v>438174</v>
      </c>
      <c r="GV83" s="622">
        <f t="shared" si="282"/>
        <v>3233245</v>
      </c>
      <c r="GW83" s="622">
        <f t="shared" si="334"/>
        <v>438174</v>
      </c>
      <c r="GX83" s="289">
        <f t="shared" si="335"/>
        <v>2795071</v>
      </c>
      <c r="GY83" s="48">
        <f t="shared" si="336"/>
        <v>1835709.5</v>
      </c>
      <c r="GZ83" s="622">
        <f t="shared" si="269"/>
        <v>23546397</v>
      </c>
      <c r="HA83" s="623">
        <f t="shared" si="337"/>
        <v>0.13731378945152414</v>
      </c>
      <c r="HB83" s="624">
        <f t="shared" si="338"/>
        <v>6.3789065531044749</v>
      </c>
      <c r="HC83" s="625">
        <f t="shared" si="339"/>
        <v>0.31940188496574018</v>
      </c>
      <c r="HD83" s="53"/>
      <c r="HE83" s="53"/>
      <c r="HF83" s="53"/>
      <c r="HG83" s="53"/>
      <c r="HH83" s="53"/>
      <c r="HI83" s="53"/>
      <c r="HJ83" s="53"/>
      <c r="HK83" s="53"/>
    </row>
    <row r="84" spans="1:219">
      <c r="A84" s="24">
        <v>33146</v>
      </c>
      <c r="B84" s="48">
        <f t="shared" si="324"/>
        <v>1814872</v>
      </c>
      <c r="C84" s="48">
        <f t="shared" si="325"/>
        <v>130171</v>
      </c>
      <c r="D84" s="25">
        <f t="shared" si="313"/>
        <v>488349</v>
      </c>
      <c r="E84" s="25">
        <f t="shared" si="329"/>
        <v>31108.193333333333</v>
      </c>
      <c r="F84" s="48">
        <f t="shared" si="299"/>
        <v>45293.167000000001</v>
      </c>
      <c r="G84" s="48">
        <f t="shared" si="300"/>
        <v>154478.32948183801</v>
      </c>
      <c r="H84" s="25">
        <f t="shared" si="284"/>
        <v>373298.32</v>
      </c>
      <c r="I84" s="25">
        <f t="shared" si="250"/>
        <v>-313351.29999999993</v>
      </c>
      <c r="J84" s="25">
        <f t="shared" si="251"/>
        <v>686649.61999999988</v>
      </c>
      <c r="K84" s="25"/>
      <c r="L84" s="25">
        <f t="shared" si="307"/>
        <v>87839</v>
      </c>
      <c r="M84" s="48">
        <f t="shared" si="301"/>
        <v>138354.23466666666</v>
      </c>
      <c r="N84" s="61">
        <f t="shared" si="302"/>
        <v>354249.82596367603</v>
      </c>
      <c r="O84" s="48">
        <f t="shared" si="303"/>
        <v>-263663.491963676</v>
      </c>
      <c r="P84" s="25">
        <f t="shared" si="308"/>
        <v>347835.3593688212</v>
      </c>
      <c r="Q84" s="25">
        <f t="shared" si="309"/>
        <v>-222153.80880728277</v>
      </c>
      <c r="R84" s="48">
        <f t="shared" si="326"/>
        <v>1814872</v>
      </c>
      <c r="S84" s="25">
        <f t="shared" si="320"/>
        <v>62790.600000000093</v>
      </c>
      <c r="T84" s="25">
        <f t="shared" si="310"/>
        <v>1418522.2143234741</v>
      </c>
      <c r="U84" s="25">
        <f t="shared" si="311"/>
        <v>776443.85114146117</v>
      </c>
      <c r="V84" s="25"/>
      <c r="W84" s="25">
        <f t="shared" si="330"/>
        <v>17468295.150000002</v>
      </c>
      <c r="X84" s="157">
        <f t="shared" si="228"/>
        <v>0.10766305518790047</v>
      </c>
      <c r="Y84" s="25">
        <f t="shared" si="331"/>
        <v>3027255.5494950004</v>
      </c>
      <c r="Z84" s="25"/>
      <c r="AB84" s="24"/>
      <c r="AC84" s="97"/>
      <c r="AD84" s="97"/>
      <c r="AF84" s="85">
        <f>AI84*1.55</f>
        <v>-34100.062000000005</v>
      </c>
      <c r="AH84" s="51" t="s">
        <v>740</v>
      </c>
      <c r="AI84" s="84">
        <v>-22000.04</v>
      </c>
      <c r="AJ84" s="84">
        <v>371.75000000000728</v>
      </c>
      <c r="AK84" s="84">
        <v>-5302.68</v>
      </c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53"/>
      <c r="BB84" s="53"/>
      <c r="BC84" s="53"/>
      <c r="BD84" s="53"/>
      <c r="BE84" s="53"/>
      <c r="BF84" s="53"/>
      <c r="BG84" s="53"/>
      <c r="BL84" s="115"/>
      <c r="BM84" s="52"/>
      <c r="BN84" s="116">
        <f>SUM(BN72:BN83)</f>
        <v>635546.72</v>
      </c>
      <c r="BO84" s="116">
        <f>SUM(BO72:BO83)</f>
        <v>252714.54</v>
      </c>
      <c r="BP84" s="128"/>
      <c r="BQ84" s="128"/>
      <c r="BR84" s="128"/>
      <c r="BS84" s="128"/>
      <c r="DI84" s="6"/>
      <c r="DU84" s="55"/>
      <c r="GF84" s="6"/>
      <c r="GG84" s="6"/>
      <c r="GL84" s="619">
        <f>A251</f>
        <v>38257</v>
      </c>
      <c r="GM84" s="620">
        <f>SUM(B249:B251)</f>
        <v>7521496</v>
      </c>
      <c r="GN84" s="620">
        <f>SUM(C249:C251)</f>
        <v>1513074</v>
      </c>
      <c r="GO84" s="621">
        <f>((GN84-GN83)^2)^0.5</f>
        <v>423157</v>
      </c>
      <c r="GP84" s="127">
        <f t="shared" si="327"/>
        <v>725091.61679999996</v>
      </c>
      <c r="GQ84" s="127">
        <f t="shared" si="328"/>
        <v>43442.983200000017</v>
      </c>
      <c r="GR84" s="48">
        <f t="shared" si="340"/>
        <v>1057559.25</v>
      </c>
      <c r="GS84" s="289">
        <f t="shared" si="332"/>
        <v>301962.5</v>
      </c>
      <c r="GT84" s="48">
        <f t="shared" si="271"/>
        <v>4230237</v>
      </c>
      <c r="GU84" s="289">
        <f t="shared" si="333"/>
        <v>1207850</v>
      </c>
      <c r="GV84" s="622">
        <f t="shared" si="282"/>
        <v>4230237</v>
      </c>
      <c r="GW84" s="622">
        <f t="shared" si="334"/>
        <v>1207850</v>
      </c>
      <c r="GX84" s="289">
        <f t="shared" si="335"/>
        <v>3022387</v>
      </c>
      <c r="GY84" s="48">
        <f t="shared" si="336"/>
        <v>2719043.5</v>
      </c>
      <c r="GZ84" s="622">
        <f t="shared" ref="GZ84:GZ93" si="341">SUM(GM81:GM84)</f>
        <v>25667809</v>
      </c>
      <c r="HA84" s="623">
        <f t="shared" si="337"/>
        <v>0.16480709358558809</v>
      </c>
      <c r="HB84" s="624">
        <f t="shared" si="338"/>
        <v>2.5022867077865629</v>
      </c>
      <c r="HC84" s="625">
        <f t="shared" si="339"/>
        <v>0.3405516389107357</v>
      </c>
      <c r="HD84" s="53"/>
      <c r="HE84" s="53"/>
      <c r="HF84" s="53"/>
      <c r="HG84" s="53"/>
      <c r="HH84" s="53"/>
    </row>
    <row r="85" spans="1:219">
      <c r="A85" s="24">
        <v>33177</v>
      </c>
      <c r="B85" s="48">
        <f t="shared" si="324"/>
        <v>1976630</v>
      </c>
      <c r="C85" s="48">
        <f t="shared" si="325"/>
        <v>288722</v>
      </c>
      <c r="D85" s="25">
        <f t="shared" si="313"/>
        <v>636903</v>
      </c>
      <c r="E85" s="25">
        <f t="shared" si="329"/>
        <v>39289.932500000003</v>
      </c>
      <c r="F85" s="48">
        <f t="shared" si="299"/>
        <v>48470.28366666667</v>
      </c>
      <c r="G85" s="48">
        <f t="shared" si="300"/>
        <v>157513.17520568456</v>
      </c>
      <c r="H85" s="25">
        <f t="shared" si="284"/>
        <v>471479.19</v>
      </c>
      <c r="I85" s="25">
        <f t="shared" si="250"/>
        <v>179987.83000000005</v>
      </c>
      <c r="J85" s="25">
        <f t="shared" si="251"/>
        <v>291491.36</v>
      </c>
      <c r="K85" s="25"/>
      <c r="L85" s="25">
        <f t="shared" si="307"/>
        <v>158551</v>
      </c>
      <c r="M85" s="48">
        <f t="shared" si="301"/>
        <v>140552.78466666667</v>
      </c>
      <c r="N85" s="61">
        <f t="shared" si="302"/>
        <v>363496.63407803577</v>
      </c>
      <c r="O85" s="48">
        <f t="shared" si="303"/>
        <v>-266556.06674470246</v>
      </c>
      <c r="P85" s="25">
        <f t="shared" si="308"/>
        <v>347835.3593688212</v>
      </c>
      <c r="Q85" s="25">
        <f t="shared" si="309"/>
        <v>-222153.80880728277</v>
      </c>
      <c r="R85" s="48">
        <f t="shared" si="326"/>
        <v>1976630</v>
      </c>
      <c r="S85" s="25">
        <f t="shared" si="320"/>
        <v>161758</v>
      </c>
      <c r="T85" s="25">
        <f t="shared" si="310"/>
        <v>1418522.2143234741</v>
      </c>
      <c r="U85" s="25">
        <f t="shared" si="311"/>
        <v>776443.85114146117</v>
      </c>
      <c r="V85" s="25"/>
      <c r="W85" s="25">
        <f t="shared" si="330"/>
        <v>18167702.550000001</v>
      </c>
      <c r="X85" s="157">
        <f t="shared" si="228"/>
        <v>0.14227489297245638</v>
      </c>
      <c r="Y85" s="25">
        <f t="shared" si="331"/>
        <v>3148462.8519150005</v>
      </c>
      <c r="Z85" s="25"/>
      <c r="AB85" s="24"/>
      <c r="AC85" s="97"/>
      <c r="AD85" s="97"/>
      <c r="AF85" s="85">
        <f>AI85*1.55</f>
        <v>-28093.874000000003</v>
      </c>
      <c r="AH85" s="51" t="s">
        <v>668</v>
      </c>
      <c r="AI85" s="84">
        <v>-18125.080000000002</v>
      </c>
      <c r="AJ85" s="84">
        <v>2366.96</v>
      </c>
      <c r="AK85" s="84">
        <v>-908.88</v>
      </c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53"/>
      <c r="BB85" s="53"/>
      <c r="BC85" s="53"/>
      <c r="BD85" s="53"/>
      <c r="BE85" s="53"/>
      <c r="BF85" s="53"/>
      <c r="BG85" s="53"/>
      <c r="DI85" s="6"/>
      <c r="DU85" s="55"/>
      <c r="GF85" s="6"/>
      <c r="GG85" s="6"/>
      <c r="GL85" s="563">
        <f>A254</f>
        <v>38348</v>
      </c>
      <c r="GM85" s="215">
        <f>SUM(B252:B254)</f>
        <v>7064912</v>
      </c>
      <c r="GN85" s="215">
        <f>SUM(C252:C254)</f>
        <v>521122</v>
      </c>
      <c r="GO85" s="564">
        <f>((GN85-GN84)^2)^0.5</f>
        <v>991952</v>
      </c>
      <c r="GP85" s="121">
        <f t="shared" si="327"/>
        <v>725091.61679999996</v>
      </c>
      <c r="GQ85" s="121">
        <f t="shared" si="328"/>
        <v>43442.983200000017</v>
      </c>
      <c r="GR85" s="565">
        <f t="shared" si="340"/>
        <v>1091947</v>
      </c>
      <c r="GS85" s="565">
        <f t="shared" si="332"/>
        <v>367868</v>
      </c>
      <c r="GT85" s="565">
        <f t="shared" si="271"/>
        <v>4367788</v>
      </c>
      <c r="GU85" s="565">
        <f t="shared" si="333"/>
        <v>1471472</v>
      </c>
      <c r="GV85" s="566">
        <f t="shared" si="282"/>
        <v>4367788</v>
      </c>
      <c r="GW85" s="566">
        <f t="shared" si="334"/>
        <v>1471472</v>
      </c>
      <c r="GX85" s="565">
        <f t="shared" si="335"/>
        <v>2896316</v>
      </c>
      <c r="GY85" s="565">
        <f t="shared" si="336"/>
        <v>2919630</v>
      </c>
      <c r="GZ85" s="566">
        <f t="shared" si="341"/>
        <v>26958692</v>
      </c>
      <c r="HA85" s="567">
        <f t="shared" si="337"/>
        <v>0.1620178011603827</v>
      </c>
      <c r="HB85" s="568">
        <f t="shared" si="338"/>
        <v>1.9683120032185457</v>
      </c>
      <c r="HC85" s="569">
        <f t="shared" si="339"/>
        <v>0.32137949693975032</v>
      </c>
      <c r="HD85" s="53"/>
      <c r="HE85" s="53"/>
      <c r="HF85" s="53"/>
      <c r="HG85" s="53"/>
      <c r="HH85" s="53"/>
    </row>
    <row r="86" spans="1:219">
      <c r="A86" s="24">
        <v>33207</v>
      </c>
      <c r="B86" s="48">
        <f t="shared" si="324"/>
        <v>1657065</v>
      </c>
      <c r="C86" s="48">
        <f t="shared" si="325"/>
        <v>-7874</v>
      </c>
      <c r="D86" s="25">
        <f t="shared" si="313"/>
        <v>411019</v>
      </c>
      <c r="E86" s="25">
        <f t="shared" si="329"/>
        <v>37661.906666666669</v>
      </c>
      <c r="F86" s="48">
        <f t="shared" si="299"/>
        <v>47794.150333333331</v>
      </c>
      <c r="G86" s="48">
        <f t="shared" si="300"/>
        <v>157669.0365031322</v>
      </c>
      <c r="H86" s="25">
        <f t="shared" si="284"/>
        <v>451942.88000000006</v>
      </c>
      <c r="I86" s="25">
        <f t="shared" si="250"/>
        <v>630314.14000000013</v>
      </c>
      <c r="J86" s="25">
        <f t="shared" si="251"/>
        <v>-178371.26000000007</v>
      </c>
      <c r="K86" s="25"/>
      <c r="L86" s="25">
        <f t="shared" si="307"/>
        <v>296596</v>
      </c>
      <c r="M86" s="48">
        <f t="shared" si="301"/>
        <v>144406.03466666667</v>
      </c>
      <c r="N86" s="61">
        <f t="shared" si="302"/>
        <v>363132.22333959775</v>
      </c>
      <c r="O86" s="48">
        <f t="shared" si="303"/>
        <v>-267543.92267293105</v>
      </c>
      <c r="P86" s="25">
        <f t="shared" si="308"/>
        <v>347835.3593688212</v>
      </c>
      <c r="Q86" s="25">
        <f t="shared" si="309"/>
        <v>-222153.80880728277</v>
      </c>
      <c r="R86" s="48">
        <f t="shared" si="326"/>
        <v>1657065</v>
      </c>
      <c r="S86" s="25">
        <f t="shared" si="320"/>
        <v>319565</v>
      </c>
      <c r="T86" s="25">
        <f t="shared" si="310"/>
        <v>1418522.2143234741</v>
      </c>
      <c r="U86" s="25">
        <f t="shared" si="311"/>
        <v>776443.85114146117</v>
      </c>
      <c r="V86" s="25"/>
      <c r="W86" s="25">
        <f t="shared" si="330"/>
        <v>18557425.75</v>
      </c>
      <c r="X86" s="157">
        <f t="shared" si="228"/>
        <v>0.18111613779899535</v>
      </c>
      <c r="Y86" s="25">
        <f t="shared" si="331"/>
        <v>3216001.8824750003</v>
      </c>
      <c r="Z86" s="25"/>
      <c r="AB86" s="24"/>
      <c r="AC86" s="97"/>
      <c r="AD86" s="97"/>
      <c r="AF86" s="85">
        <f>AI86*1.55</f>
        <v>-29200.093500000003</v>
      </c>
      <c r="AH86" s="51" t="s">
        <v>1290</v>
      </c>
      <c r="AI86" s="84">
        <v>-18838.77</v>
      </c>
      <c r="AJ86" s="84">
        <v>1681.47</v>
      </c>
      <c r="AK86" s="84">
        <v>14272.49</v>
      </c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53"/>
      <c r="BB86" s="53"/>
      <c r="DI86" s="6"/>
      <c r="DU86" s="55"/>
      <c r="GF86" s="6"/>
      <c r="GG86" s="6"/>
      <c r="GL86" s="619">
        <f>A257</f>
        <v>38438</v>
      </c>
      <c r="GM86" s="620">
        <f>SUM(B255:B257)</f>
        <v>5034581</v>
      </c>
      <c r="GN86" s="620">
        <f>SUM(C255:C257)</f>
        <v>304850</v>
      </c>
      <c r="GO86" s="621">
        <f>((GN86-GN93)^2)^0.5</f>
        <v>109562</v>
      </c>
      <c r="GP86" s="127">
        <f t="shared" si="327"/>
        <v>725091.61679999996</v>
      </c>
      <c r="GQ86" s="127">
        <f t="shared" si="328"/>
        <v>43442.983200000017</v>
      </c>
      <c r="GR86" s="48">
        <f t="shared" si="340"/>
        <v>1068819.25</v>
      </c>
      <c r="GS86" s="289">
        <f t="shared" si="332"/>
        <v>584826.5</v>
      </c>
      <c r="GT86" s="48">
        <f t="shared" si="271"/>
        <v>4275277</v>
      </c>
      <c r="GU86" s="289">
        <f t="shared" si="333"/>
        <v>2339306</v>
      </c>
      <c r="GV86" s="622">
        <f t="shared" si="282"/>
        <v>4275277</v>
      </c>
      <c r="GW86" s="622">
        <f t="shared" si="334"/>
        <v>2339306</v>
      </c>
      <c r="GX86" s="289">
        <f t="shared" si="335"/>
        <v>1935971</v>
      </c>
      <c r="GY86" s="48">
        <f t="shared" si="336"/>
        <v>3307291.5</v>
      </c>
      <c r="GZ86" s="622">
        <f t="shared" si="341"/>
        <v>27192461</v>
      </c>
      <c r="HA86" s="623">
        <f t="shared" si="337"/>
        <v>0.15722287879717839</v>
      </c>
      <c r="HB86" s="624">
        <f t="shared" si="338"/>
        <v>0.82758347988676983</v>
      </c>
      <c r="HC86" s="625">
        <f t="shared" si="339"/>
        <v>0.25203263075443172</v>
      </c>
      <c r="HD86" s="53"/>
      <c r="HE86" s="53"/>
      <c r="HF86" s="53"/>
      <c r="HG86" s="53"/>
      <c r="HH86" s="53"/>
    </row>
    <row r="87" spans="1:219">
      <c r="A87" s="24">
        <v>33238</v>
      </c>
      <c r="B87" s="48">
        <f t="shared" ref="B87:B98" si="342">BP3</f>
        <v>1025076.2388000001</v>
      </c>
      <c r="C87" s="75">
        <f t="shared" ref="C87:C98" si="343">AI3</f>
        <v>-284840.614</v>
      </c>
      <c r="D87" s="25">
        <f t="shared" si="313"/>
        <v>-3992.6140000000014</v>
      </c>
      <c r="E87" s="25">
        <f>AVERAGE(C76:C99)</f>
        <v>702.19545833333052</v>
      </c>
      <c r="F87" s="48">
        <f t="shared" si="299"/>
        <v>41429.106766666664</v>
      </c>
      <c r="G87" s="48">
        <f t="shared" si="300"/>
        <v>163256.04917251592</v>
      </c>
      <c r="H87" s="25">
        <f t="shared" si="284"/>
        <v>444840.266</v>
      </c>
      <c r="I87" s="25">
        <f t="shared" si="250"/>
        <v>314358.14000000013</v>
      </c>
      <c r="J87" s="25">
        <f t="shared" si="251"/>
        <v>130482.12599999987</v>
      </c>
      <c r="K87" s="25"/>
      <c r="L87" s="25">
        <f>((C86-C99)^2)^0.5</f>
        <v>155855.00200000001</v>
      </c>
      <c r="M87" s="48">
        <f t="shared" si="301"/>
        <v>145930.81803333334</v>
      </c>
      <c r="N87" s="61">
        <f t="shared" si="302"/>
        <v>367941.20511169848</v>
      </c>
      <c r="O87" s="48">
        <f t="shared" si="303"/>
        <v>-285082.99157836521</v>
      </c>
      <c r="P87" s="25">
        <f t="shared" si="308"/>
        <v>347835.3593688212</v>
      </c>
      <c r="Q87" s="25">
        <f t="shared" si="309"/>
        <v>-222153.80880728277</v>
      </c>
      <c r="R87" s="48">
        <f t="shared" ref="R87:R98" si="344">BP3</f>
        <v>1025076.2388000001</v>
      </c>
      <c r="S87" s="25">
        <f t="shared" ref="S87:S111" si="345">IF(R87&gt;0,ABS(R86-R87)," ")</f>
        <v>631988.76119999995</v>
      </c>
      <c r="T87" s="25">
        <f t="shared" si="310"/>
        <v>1418522.2143234741</v>
      </c>
      <c r="U87" s="25">
        <f t="shared" si="311"/>
        <v>776443.85114146117</v>
      </c>
      <c r="V87" s="25"/>
      <c r="W87" s="25">
        <f t="shared" si="330"/>
        <v>18734469.198800001</v>
      </c>
      <c r="X87" s="157">
        <f t="shared" si="228"/>
        <v>0.22649655852990952</v>
      </c>
      <c r="Y87" s="25">
        <f t="shared" si="331"/>
        <v>3246683.5121520404</v>
      </c>
      <c r="Z87" s="25"/>
      <c r="AB87" s="24"/>
      <c r="AC87" s="97"/>
      <c r="AD87" s="97"/>
      <c r="AH87" s="51" t="s">
        <v>726</v>
      </c>
      <c r="AI87" s="84">
        <v>-13139.67</v>
      </c>
      <c r="AJ87" s="84">
        <v>-21692.98</v>
      </c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53"/>
      <c r="BB87" s="53"/>
      <c r="DI87" s="6"/>
      <c r="DU87" s="55"/>
      <c r="GF87" s="6"/>
      <c r="GG87" s="6"/>
      <c r="GL87" s="619">
        <f>A260</f>
        <v>38530</v>
      </c>
      <c r="GM87" s="620">
        <f>SUM(B258:B260)</f>
        <v>5235394</v>
      </c>
      <c r="GN87" s="620">
        <f>SUM(C258:C260)</f>
        <v>-885</v>
      </c>
      <c r="GO87" s="621">
        <f>((GN87-GN86)^2)^0.5</f>
        <v>305735</v>
      </c>
      <c r="GP87" s="127">
        <f t="shared" si="327"/>
        <v>725091.61679999996</v>
      </c>
      <c r="GQ87" s="127">
        <f t="shared" si="328"/>
        <v>43442.983200000017</v>
      </c>
      <c r="GR87" s="48">
        <f t="shared" si="340"/>
        <v>584540.25</v>
      </c>
      <c r="GS87" s="289">
        <f t="shared" si="332"/>
        <v>808311.25</v>
      </c>
      <c r="GT87" s="48">
        <f t="shared" si="271"/>
        <v>2338161</v>
      </c>
      <c r="GU87" s="289">
        <f t="shared" si="333"/>
        <v>3233245</v>
      </c>
      <c r="GV87" s="622">
        <f t="shared" si="282"/>
        <v>2338161</v>
      </c>
      <c r="GW87" s="622">
        <f t="shared" si="334"/>
        <v>3233245</v>
      </c>
      <c r="GX87" s="289">
        <f t="shared" si="335"/>
        <v>-895084</v>
      </c>
      <c r="GY87" s="48">
        <f t="shared" si="336"/>
        <v>2785703</v>
      </c>
      <c r="GZ87" s="622">
        <f t="shared" si="341"/>
        <v>24856383</v>
      </c>
      <c r="HA87" s="623">
        <f t="shared" si="337"/>
        <v>9.4066823801355171E-2</v>
      </c>
      <c r="HB87" s="624">
        <f t="shared" si="338"/>
        <v>-0.27683766618366379</v>
      </c>
      <c r="HC87" s="625">
        <f t="shared" si="339"/>
        <v>5.5634244169076058E-2</v>
      </c>
      <c r="HD87" s="53"/>
      <c r="HE87" s="53"/>
      <c r="HF87" s="53"/>
      <c r="HG87" s="53"/>
      <c r="HH87" s="53"/>
    </row>
    <row r="88" spans="1:219">
      <c r="A88" s="24">
        <v>33269</v>
      </c>
      <c r="B88" s="48">
        <f t="shared" si="342"/>
        <v>1412739.4191999999</v>
      </c>
      <c r="C88" s="75">
        <f t="shared" si="343"/>
        <v>-62046.83</v>
      </c>
      <c r="D88" s="25">
        <f t="shared" si="313"/>
        <v>-354761.44400000002</v>
      </c>
      <c r="E88" s="25">
        <f t="shared" ref="E88:E93" si="346">AVERAGE(C77:C88)</f>
        <v>44844.563833333326</v>
      </c>
      <c r="F88" s="48">
        <f t="shared" si="299"/>
        <v>42606.359599999996</v>
      </c>
      <c r="G88" s="48">
        <f t="shared" si="300"/>
        <v>162230.69755020438</v>
      </c>
      <c r="H88" s="25">
        <f t="shared" si="284"/>
        <v>538134.76599999995</v>
      </c>
      <c r="I88" s="25">
        <f t="shared" si="250"/>
        <v>309016.81000000017</v>
      </c>
      <c r="J88" s="25">
        <f t="shared" si="251"/>
        <v>229117.95599999977</v>
      </c>
      <c r="K88" s="25">
        <f>AVERAGE(C86+C87+C88)</f>
        <v>-354761.44400000002</v>
      </c>
      <c r="L88" s="25">
        <f>((C99-C88)^2)^0.5</f>
        <v>101682.17200000001</v>
      </c>
      <c r="M88" s="48">
        <f t="shared" si="301"/>
        <v>143796.45423333335</v>
      </c>
      <c r="N88" s="61">
        <f t="shared" si="302"/>
        <v>367067.75470040878</v>
      </c>
      <c r="O88" s="48">
        <f t="shared" si="303"/>
        <v>-281855.03550040873</v>
      </c>
      <c r="P88" s="25">
        <f t="shared" si="308"/>
        <v>347835.3593688212</v>
      </c>
      <c r="Q88" s="25">
        <f t="shared" si="309"/>
        <v>-222153.80880728277</v>
      </c>
      <c r="R88" s="48">
        <f t="shared" si="344"/>
        <v>1412739.4191999999</v>
      </c>
      <c r="S88" s="25">
        <f t="shared" si="345"/>
        <v>387663.18039999984</v>
      </c>
      <c r="T88" s="25">
        <f t="shared" si="310"/>
        <v>1418522.2143234741</v>
      </c>
      <c r="U88" s="25">
        <f t="shared" si="311"/>
        <v>776443.85114146117</v>
      </c>
      <c r="W88" s="25">
        <f t="shared" si="330"/>
        <v>19007383.147999998</v>
      </c>
      <c r="X88" s="157">
        <f t="shared" si="228"/>
        <v>0.24095626615312449</v>
      </c>
      <c r="Y88" s="25">
        <f t="shared" si="331"/>
        <v>3293979.4995483998</v>
      </c>
      <c r="AB88" s="24"/>
      <c r="AC88" s="97"/>
      <c r="AD88" s="97"/>
      <c r="AH88" s="66" t="s">
        <v>727</v>
      </c>
      <c r="AI88" s="86">
        <v>-61578.16</v>
      </c>
      <c r="AJ88" s="86">
        <f>29874.2-42000</f>
        <v>-12125.8</v>
      </c>
      <c r="AK88" s="86"/>
      <c r="AL88" s="86"/>
      <c r="AM88" s="86"/>
      <c r="AN88" s="86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53"/>
      <c r="BB88" s="53"/>
      <c r="DI88" s="6"/>
      <c r="DU88" s="55"/>
      <c r="GF88" s="6"/>
      <c r="GG88" s="6"/>
      <c r="GL88" s="619">
        <f>A263</f>
        <v>38622</v>
      </c>
      <c r="GM88" s="620">
        <f>SUM(B261:B263)</f>
        <v>5762830</v>
      </c>
      <c r="GN88" s="620">
        <f>SUM(C261:C263)</f>
        <v>573793</v>
      </c>
      <c r="GO88" s="621">
        <f>((GN88-GN87)^2)^0.5</f>
        <v>574678</v>
      </c>
      <c r="GP88" s="127">
        <f t="shared" si="327"/>
        <v>725091.61679999996</v>
      </c>
      <c r="GQ88" s="127">
        <f t="shared" si="328"/>
        <v>43442.983200000017</v>
      </c>
      <c r="GR88" s="48">
        <f t="shared" si="340"/>
        <v>349720</v>
      </c>
      <c r="GS88" s="289">
        <f t="shared" si="332"/>
        <v>1057559.25</v>
      </c>
      <c r="GT88" s="48">
        <f t="shared" si="271"/>
        <v>1398880</v>
      </c>
      <c r="GU88" s="289">
        <f t="shared" si="333"/>
        <v>4230237</v>
      </c>
      <c r="GV88" s="622">
        <f t="shared" si="282"/>
        <v>1398880</v>
      </c>
      <c r="GW88" s="622">
        <f t="shared" si="334"/>
        <v>4230237</v>
      </c>
      <c r="GX88" s="289">
        <f t="shared" si="335"/>
        <v>-2831357</v>
      </c>
      <c r="GY88" s="48">
        <f t="shared" si="336"/>
        <v>2814558.5</v>
      </c>
      <c r="GZ88" s="622">
        <f t="shared" si="341"/>
        <v>23097717</v>
      </c>
      <c r="HA88" s="623">
        <f t="shared" si="337"/>
        <v>6.0563561325130098E-2</v>
      </c>
      <c r="HB88" s="624">
        <f t="shared" si="338"/>
        <v>-0.6693140360693739</v>
      </c>
      <c r="HC88" s="625">
        <f t="shared" si="339"/>
        <v>-0.10012899815484835</v>
      </c>
      <c r="HD88" s="53"/>
      <c r="HE88" s="53"/>
      <c r="HF88" s="53"/>
      <c r="HG88" s="53"/>
      <c r="HH88" s="53"/>
    </row>
    <row r="89" spans="1:219">
      <c r="A89" s="24">
        <v>33297</v>
      </c>
      <c r="B89" s="48">
        <f t="shared" si="342"/>
        <v>1626314.8704000001</v>
      </c>
      <c r="C89" s="75">
        <f t="shared" si="343"/>
        <v>-28083.465</v>
      </c>
      <c r="D89" s="25">
        <f t="shared" si="313"/>
        <v>-374970.90899999999</v>
      </c>
      <c r="E89" s="25">
        <f t="shared" si="346"/>
        <v>33960.775083333327</v>
      </c>
      <c r="F89" s="48">
        <f t="shared" si="299"/>
        <v>37947.001850000001</v>
      </c>
      <c r="G89" s="48">
        <f t="shared" si="300"/>
        <v>160131.10447962288</v>
      </c>
      <c r="H89" s="25">
        <f t="shared" si="284"/>
        <v>407529.30099999992</v>
      </c>
      <c r="I89" s="25">
        <f t="shared" si="250"/>
        <v>359362.81000000017</v>
      </c>
      <c r="J89" s="25">
        <f t="shared" si="251"/>
        <v>48166.490999999747</v>
      </c>
      <c r="K89" s="25"/>
      <c r="L89" s="25">
        <f t="shared" ref="L89:L104" si="347">((C88-C89)^2)^0.5</f>
        <v>33963.365000000005</v>
      </c>
      <c r="M89" s="48">
        <f t="shared" si="301"/>
        <v>137959.84365000002</v>
      </c>
      <c r="N89" s="61">
        <f t="shared" si="302"/>
        <v>358209.21080924576</v>
      </c>
      <c r="O89" s="48">
        <f t="shared" si="303"/>
        <v>-282315.20710924576</v>
      </c>
      <c r="P89" s="25">
        <f t="shared" si="308"/>
        <v>347835.3593688212</v>
      </c>
      <c r="Q89" s="25">
        <f t="shared" si="309"/>
        <v>-222153.80880728277</v>
      </c>
      <c r="R89" s="48">
        <f t="shared" si="344"/>
        <v>1626314.8704000001</v>
      </c>
      <c r="S89" s="25">
        <f t="shared" si="345"/>
        <v>213575.45120000024</v>
      </c>
      <c r="T89" s="25">
        <f t="shared" si="310"/>
        <v>1418522.2143234741</v>
      </c>
      <c r="U89" s="25">
        <f t="shared" si="311"/>
        <v>776443.85114146117</v>
      </c>
      <c r="W89" s="25">
        <f t="shared" si="330"/>
        <v>19090262.218400002</v>
      </c>
      <c r="X89" s="157">
        <f t="shared" si="228"/>
        <v>0.23524825237403932</v>
      </c>
      <c r="Y89" s="25">
        <f t="shared" si="331"/>
        <v>3308342.4424487203</v>
      </c>
      <c r="AB89" s="24"/>
      <c r="AC89" s="97"/>
      <c r="AD89" s="97"/>
      <c r="AI89" s="84"/>
      <c r="AJ89" s="84">
        <f>SUM(AJ77:AJ88)</f>
        <v>-22080.769999999997</v>
      </c>
      <c r="AK89" s="84">
        <f>SUM(AK77:AK88)</f>
        <v>-172573.81</v>
      </c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53"/>
      <c r="BB89" s="53"/>
      <c r="DI89" s="6"/>
      <c r="DU89" s="55"/>
      <c r="GF89" s="6"/>
      <c r="GG89" s="6"/>
      <c r="GL89" s="563">
        <f>A266</f>
        <v>38713</v>
      </c>
      <c r="GM89" s="215">
        <f>SUM(B264:B266)</f>
        <v>5036208</v>
      </c>
      <c r="GN89" s="215">
        <f>SUM(C264:C266)</f>
        <v>-331984</v>
      </c>
      <c r="GO89" s="564">
        <f>((GN89-GN88)^2)^0.5</f>
        <v>905777</v>
      </c>
      <c r="GP89" s="121">
        <f t="shared" si="327"/>
        <v>725091.61679999996</v>
      </c>
      <c r="GQ89" s="121">
        <f t="shared" si="328"/>
        <v>43442.983200000017</v>
      </c>
      <c r="GR89" s="565">
        <f t="shared" si="340"/>
        <v>136443.5</v>
      </c>
      <c r="GS89" s="565">
        <f t="shared" si="332"/>
        <v>1091947</v>
      </c>
      <c r="GT89" s="565">
        <f t="shared" si="271"/>
        <v>545774</v>
      </c>
      <c r="GU89" s="565">
        <f t="shared" si="333"/>
        <v>4367788</v>
      </c>
      <c r="GV89" s="566">
        <f t="shared" si="282"/>
        <v>545774</v>
      </c>
      <c r="GW89" s="566">
        <f t="shared" si="334"/>
        <v>4367788</v>
      </c>
      <c r="GX89" s="565">
        <f t="shared" si="335"/>
        <v>-3822014</v>
      </c>
      <c r="GY89" s="565">
        <f t="shared" si="336"/>
        <v>2456781</v>
      </c>
      <c r="GZ89" s="566">
        <f t="shared" si="341"/>
        <v>21069013</v>
      </c>
      <c r="HA89" s="567">
        <f t="shared" si="337"/>
        <v>2.5904108559807713E-2</v>
      </c>
      <c r="HB89" s="568">
        <f t="shared" si="338"/>
        <v>-0.8750456752937642</v>
      </c>
      <c r="HC89" s="569">
        <f t="shared" si="339"/>
        <v>-0.21847050294576606</v>
      </c>
      <c r="HD89" s="53"/>
      <c r="HE89" s="53"/>
      <c r="HF89" s="182"/>
    </row>
    <row r="90" spans="1:219">
      <c r="A90" s="24">
        <v>33328</v>
      </c>
      <c r="B90" s="48">
        <f t="shared" si="342"/>
        <v>1282164.2748</v>
      </c>
      <c r="C90" s="75">
        <f t="shared" si="343"/>
        <v>-230622.7635</v>
      </c>
      <c r="D90" s="25">
        <f t="shared" si="313"/>
        <v>-320753.05849999998</v>
      </c>
      <c r="E90" s="25">
        <f t="shared" si="346"/>
        <v>17696.628124999988</v>
      </c>
      <c r="F90" s="48">
        <f t="shared" si="299"/>
        <v>33473.289125000003</v>
      </c>
      <c r="G90" s="48">
        <f t="shared" si="300"/>
        <v>163841.85831382021</v>
      </c>
      <c r="H90" s="25">
        <f t="shared" ref="H90:H114" si="348">SUM(C79:C90)</f>
        <v>212359.53749999986</v>
      </c>
      <c r="I90" s="25">
        <f t="shared" si="250"/>
        <v>241908.81000000017</v>
      </c>
      <c r="J90" s="25">
        <f t="shared" si="251"/>
        <v>-29549.272500000312</v>
      </c>
      <c r="K90" s="25"/>
      <c r="L90" s="25">
        <f t="shared" si="347"/>
        <v>202539.2985</v>
      </c>
      <c r="M90" s="48">
        <f t="shared" si="301"/>
        <v>137774.19862500002</v>
      </c>
      <c r="N90" s="61">
        <f t="shared" si="302"/>
        <v>361157.00575264043</v>
      </c>
      <c r="O90" s="48">
        <f t="shared" si="303"/>
        <v>-294210.42750264041</v>
      </c>
      <c r="P90" s="25">
        <f t="shared" si="308"/>
        <v>347835.3593688212</v>
      </c>
      <c r="Q90" s="25">
        <f t="shared" si="309"/>
        <v>-222153.80880728277</v>
      </c>
      <c r="R90" s="48">
        <f t="shared" si="344"/>
        <v>1282164.2748</v>
      </c>
      <c r="S90" s="25">
        <f t="shared" si="345"/>
        <v>344150.59560000012</v>
      </c>
      <c r="T90" s="25">
        <f t="shared" si="310"/>
        <v>1418522.2143234741</v>
      </c>
      <c r="U90" s="25">
        <f t="shared" si="311"/>
        <v>776443.85114146117</v>
      </c>
      <c r="W90" s="25">
        <f t="shared" si="330"/>
        <v>18927598.3332</v>
      </c>
      <c r="X90" s="157">
        <f t="shared" si="228"/>
        <v>0.21702326906245237</v>
      </c>
      <c r="Y90" s="25">
        <f t="shared" si="331"/>
        <v>3280152.7911435603</v>
      </c>
      <c r="AB90" s="24"/>
      <c r="AC90" s="97"/>
      <c r="AD90" s="97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53"/>
      <c r="BB90" s="53"/>
      <c r="DI90" s="6"/>
      <c r="DU90" s="55"/>
      <c r="GF90" s="6"/>
      <c r="GG90" s="6"/>
      <c r="GL90" s="619">
        <f>A269</f>
        <v>38803</v>
      </c>
      <c r="GM90" s="620">
        <f>SUM(B267:B269)</f>
        <v>3829680</v>
      </c>
      <c r="GN90" s="620">
        <f>SUM(C267:C269)</f>
        <v>-940389</v>
      </c>
      <c r="GO90" s="621">
        <f>((GN90-GN119)^2)^0.5</f>
        <v>940389</v>
      </c>
      <c r="GP90" s="127">
        <f t="shared" si="327"/>
        <v>725091.61679999996</v>
      </c>
      <c r="GQ90" s="127">
        <f t="shared" si="328"/>
        <v>43442.983200000017</v>
      </c>
      <c r="GR90" s="48">
        <f t="shared" si="340"/>
        <v>-174866.25</v>
      </c>
      <c r="GS90" s="289">
        <f t="shared" ref="GS90:GS97" si="349">GR86</f>
        <v>1068819.25</v>
      </c>
      <c r="GT90" s="48">
        <f t="shared" si="271"/>
        <v>-699465</v>
      </c>
      <c r="GU90" s="289">
        <f t="shared" ref="GU90:GU97" si="350">GT86</f>
        <v>4275277</v>
      </c>
      <c r="GV90" s="622">
        <f t="shared" si="282"/>
        <v>-699465</v>
      </c>
      <c r="GW90" s="622">
        <f t="shared" ref="GW90:GW97" si="351">GV86</f>
        <v>4275277</v>
      </c>
      <c r="GX90" s="289">
        <f t="shared" ref="GX90:GX97" si="352">GV90-GW90</f>
        <v>-4974742</v>
      </c>
      <c r="GY90" s="48">
        <f t="shared" ref="GY90:GY97" si="353">(GV90+GW90)/2</f>
        <v>1787906</v>
      </c>
      <c r="GZ90" s="622">
        <f t="shared" si="341"/>
        <v>19864112</v>
      </c>
      <c r="HA90" s="623">
        <f t="shared" ref="HA90:HA97" si="354">GV90/GZ90</f>
        <v>-3.521249779501847E-2</v>
      </c>
      <c r="HB90" s="624">
        <f t="shared" ref="HB90:HB97" si="355">GX90/GW90</f>
        <v>-1.1636069428951621</v>
      </c>
      <c r="HC90" s="625">
        <f t="shared" ref="HC90:HC97" si="356">(GZ90-GZ86)/GZ86</f>
        <v>-0.26949929246933552</v>
      </c>
      <c r="HD90" s="53"/>
      <c r="HE90" s="53"/>
      <c r="HF90" s="182"/>
    </row>
    <row r="91" spans="1:219">
      <c r="A91" s="24">
        <v>33358</v>
      </c>
      <c r="B91" s="48">
        <f t="shared" si="342"/>
        <v>1367772.8060000001</v>
      </c>
      <c r="C91" s="75">
        <f t="shared" si="343"/>
        <v>-129993.92600000001</v>
      </c>
      <c r="D91" s="25">
        <f t="shared" si="313"/>
        <v>-388700.1545</v>
      </c>
      <c r="E91" s="25">
        <f t="shared" si="346"/>
        <v>20737.090124999995</v>
      </c>
      <c r="F91" s="48">
        <f t="shared" si="299"/>
        <v>31031.67369166667</v>
      </c>
      <c r="G91" s="48">
        <f t="shared" si="300"/>
        <v>165185.10254986267</v>
      </c>
      <c r="H91" s="25">
        <f t="shared" si="348"/>
        <v>248845.08149999994</v>
      </c>
      <c r="I91" s="25">
        <f t="shared" si="250"/>
        <v>-60470.189999999944</v>
      </c>
      <c r="J91" s="25">
        <f t="shared" si="251"/>
        <v>309315.27149999992</v>
      </c>
      <c r="K91" s="25"/>
      <c r="L91" s="25">
        <f t="shared" si="347"/>
        <v>100628.83749999999</v>
      </c>
      <c r="M91" s="48">
        <f t="shared" si="301"/>
        <v>139096.39591666669</v>
      </c>
      <c r="N91" s="61">
        <f t="shared" si="302"/>
        <v>361401.87879139202</v>
      </c>
      <c r="O91" s="48">
        <f t="shared" si="303"/>
        <v>-299338.53140805865</v>
      </c>
      <c r="P91" s="25">
        <f t="shared" si="308"/>
        <v>347835.3593688212</v>
      </c>
      <c r="Q91" s="25">
        <f t="shared" si="309"/>
        <v>-222153.80880728277</v>
      </c>
      <c r="R91" s="48">
        <f t="shared" si="344"/>
        <v>1367772.8060000001</v>
      </c>
      <c r="S91" s="25">
        <f t="shared" si="345"/>
        <v>85608.531200000085</v>
      </c>
      <c r="T91" s="25">
        <f t="shared" si="310"/>
        <v>1418522.2143234741</v>
      </c>
      <c r="U91" s="25">
        <f t="shared" si="311"/>
        <v>776443.85114146117</v>
      </c>
      <c r="W91" s="25">
        <f t="shared" si="330"/>
        <v>18971892.159200002</v>
      </c>
      <c r="X91" s="157">
        <f t="shared" ref="X91:X154" si="357">(W91-W79)/W79</f>
        <v>0.2323933856865748</v>
      </c>
      <c r="Y91" s="25">
        <f t="shared" si="331"/>
        <v>3287828.9111893605</v>
      </c>
      <c r="AB91" s="24"/>
      <c r="AC91" s="97"/>
      <c r="AD91" s="97"/>
      <c r="AE91"/>
      <c r="AF91"/>
      <c r="AG91"/>
      <c r="AH91"/>
      <c r="AI91"/>
      <c r="AJ91"/>
      <c r="AK91" s="69"/>
      <c r="AL91" s="69"/>
      <c r="AM91" s="6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69"/>
      <c r="AY91" s="69"/>
      <c r="AZ91" s="69"/>
      <c r="BA91" s="53"/>
      <c r="BB91" s="53"/>
      <c r="DI91" s="6"/>
      <c r="DU91" s="55"/>
      <c r="GF91" s="6"/>
      <c r="GG91" s="6"/>
      <c r="GL91" s="619">
        <f>A272</f>
        <v>38895</v>
      </c>
      <c r="GM91" s="620">
        <f>SUM(B270:B272)</f>
        <v>7602266</v>
      </c>
      <c r="GN91" s="620">
        <f>SUM(C270:C272)</f>
        <v>1896644</v>
      </c>
      <c r="GO91" s="621">
        <f>((GN91-GN90)^2)^0.5</f>
        <v>2837033</v>
      </c>
      <c r="GP91" s="127">
        <f t="shared" si="327"/>
        <v>725091.61679999996</v>
      </c>
      <c r="GQ91" s="127">
        <f t="shared" si="328"/>
        <v>43442.983200000017</v>
      </c>
      <c r="GR91" s="48">
        <f t="shared" si="340"/>
        <v>299516</v>
      </c>
      <c r="GS91" s="289">
        <f t="shared" si="349"/>
        <v>584540.25</v>
      </c>
      <c r="GT91" s="48">
        <f t="shared" si="271"/>
        <v>1198064</v>
      </c>
      <c r="GU91" s="289">
        <f t="shared" si="350"/>
        <v>2338161</v>
      </c>
      <c r="GV91" s="622">
        <f t="shared" si="282"/>
        <v>1198064</v>
      </c>
      <c r="GW91" s="622">
        <f t="shared" si="351"/>
        <v>2338161</v>
      </c>
      <c r="GX91" s="289">
        <f t="shared" si="352"/>
        <v>-1140097</v>
      </c>
      <c r="GY91" s="48">
        <f t="shared" si="353"/>
        <v>1768112.5</v>
      </c>
      <c r="GZ91" s="622">
        <f t="shared" si="341"/>
        <v>22230984</v>
      </c>
      <c r="HA91" s="623">
        <f t="shared" si="354"/>
        <v>5.3891631607489797E-2</v>
      </c>
      <c r="HB91" s="624">
        <f t="shared" si="355"/>
        <v>-0.48760414701981603</v>
      </c>
      <c r="HC91" s="625">
        <f t="shared" si="356"/>
        <v>-0.10562272877755384</v>
      </c>
      <c r="HD91" s="53"/>
      <c r="HE91" s="53"/>
      <c r="HF91" s="182"/>
    </row>
    <row r="92" spans="1:219">
      <c r="A92" s="24">
        <v>33389</v>
      </c>
      <c r="B92" s="48">
        <f t="shared" si="342"/>
        <v>1546918.5204</v>
      </c>
      <c r="C92" s="75">
        <f t="shared" si="343"/>
        <v>-76671.28</v>
      </c>
      <c r="D92" s="25">
        <f t="shared" si="313"/>
        <v>-437287.96950000001</v>
      </c>
      <c r="E92" s="25">
        <f t="shared" si="346"/>
        <v>-13383.489875000005</v>
      </c>
      <c r="F92" s="48">
        <f t="shared" si="299"/>
        <v>27494.58569166666</v>
      </c>
      <c r="G92" s="48">
        <f t="shared" si="300"/>
        <v>165181.22139576098</v>
      </c>
      <c r="H92" s="25">
        <f t="shared" si="348"/>
        <v>-160601.87850000005</v>
      </c>
      <c r="I92" s="25">
        <f t="shared" si="250"/>
        <v>94215.73000000004</v>
      </c>
      <c r="J92" s="25">
        <f t="shared" si="251"/>
        <v>-254817.60850000009</v>
      </c>
      <c r="K92" s="25"/>
      <c r="L92" s="25">
        <f t="shared" si="347"/>
        <v>53322.646000000008</v>
      </c>
      <c r="M92" s="48">
        <f t="shared" si="301"/>
        <v>138000.92335</v>
      </c>
      <c r="N92" s="61">
        <f t="shared" si="302"/>
        <v>357857.02848318859</v>
      </c>
      <c r="O92" s="48">
        <f t="shared" si="303"/>
        <v>-302867.85709985532</v>
      </c>
      <c r="P92" s="25">
        <f t="shared" si="308"/>
        <v>347835.3593688212</v>
      </c>
      <c r="Q92" s="25">
        <f t="shared" si="309"/>
        <v>-222153.80880728277</v>
      </c>
      <c r="R92" s="48">
        <f t="shared" si="344"/>
        <v>1546918.5204</v>
      </c>
      <c r="S92" s="25">
        <f t="shared" si="345"/>
        <v>179145.71439999994</v>
      </c>
      <c r="T92" s="25">
        <f t="shared" si="310"/>
        <v>1418522.2143234741</v>
      </c>
      <c r="U92" s="25">
        <f t="shared" si="311"/>
        <v>776443.85114146117</v>
      </c>
      <c r="W92" s="25">
        <f t="shared" si="330"/>
        <v>18621851.719599999</v>
      </c>
      <c r="X92" s="157">
        <f t="shared" si="357"/>
        <v>0.17873603567732585</v>
      </c>
      <c r="Y92" s="25">
        <f t="shared" si="331"/>
        <v>3227166.9030066803</v>
      </c>
      <c r="AB92" s="24"/>
      <c r="AC92" s="97"/>
      <c r="AD92" s="97"/>
      <c r="AE92"/>
      <c r="AF92"/>
      <c r="AG92"/>
      <c r="AH92"/>
      <c r="AI92"/>
      <c r="AJ92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B92"/>
      <c r="DI92" s="6"/>
      <c r="DU92" s="55"/>
      <c r="GF92" s="6"/>
      <c r="GG92" s="6"/>
      <c r="GL92" s="619">
        <f>A275</f>
        <v>38987</v>
      </c>
      <c r="GM92" s="620">
        <f>SUM(B273:B275)</f>
        <v>6233004</v>
      </c>
      <c r="GN92" s="620">
        <f>SUM(C273:C275)</f>
        <v>785610</v>
      </c>
      <c r="GO92" s="621">
        <f>((GN92-GN91)^2)^0.5</f>
        <v>1111034</v>
      </c>
      <c r="GP92" s="127">
        <f t="shared" si="327"/>
        <v>725091.61679999996</v>
      </c>
      <c r="GQ92" s="127">
        <f t="shared" si="328"/>
        <v>43442.983200000017</v>
      </c>
      <c r="GR92" s="48">
        <f t="shared" si="340"/>
        <v>352470.25</v>
      </c>
      <c r="GS92" s="289">
        <f t="shared" si="349"/>
        <v>349720</v>
      </c>
      <c r="GT92" s="48">
        <f t="shared" si="271"/>
        <v>1409881</v>
      </c>
      <c r="GU92" s="289">
        <f t="shared" si="350"/>
        <v>1398880</v>
      </c>
      <c r="GV92" s="622">
        <f t="shared" si="282"/>
        <v>1409881</v>
      </c>
      <c r="GW92" s="622">
        <f t="shared" si="351"/>
        <v>1398880</v>
      </c>
      <c r="GX92" s="289">
        <f t="shared" si="352"/>
        <v>11001</v>
      </c>
      <c r="GY92" s="48">
        <f t="shared" si="353"/>
        <v>1404380.5</v>
      </c>
      <c r="GZ92" s="622">
        <f t="shared" si="341"/>
        <v>22701158</v>
      </c>
      <c r="HA92" s="623">
        <f t="shared" si="354"/>
        <v>6.2106126920926236E-2</v>
      </c>
      <c r="HB92" s="624">
        <f t="shared" si="355"/>
        <v>7.8641484616264433E-3</v>
      </c>
      <c r="HC92" s="625">
        <f t="shared" si="356"/>
        <v>-1.716875308499104E-2</v>
      </c>
      <c r="HD92" s="53"/>
      <c r="HE92" s="53"/>
      <c r="HF92" s="182"/>
    </row>
    <row r="93" spans="1:219">
      <c r="A93" s="24">
        <v>33419</v>
      </c>
      <c r="B93" s="48">
        <f t="shared" si="342"/>
        <v>1367232.6524</v>
      </c>
      <c r="C93" s="75">
        <f t="shared" si="343"/>
        <v>-74391.772500000006</v>
      </c>
      <c r="D93" s="25">
        <f t="shared" si="313"/>
        <v>-281056.97849999997</v>
      </c>
      <c r="E93" s="25">
        <f t="shared" si="346"/>
        <v>-9787.8042500000047</v>
      </c>
      <c r="F93" s="48">
        <f t="shared" si="299"/>
        <v>24222.03948333333</v>
      </c>
      <c r="G93" s="48">
        <f t="shared" si="300"/>
        <v>165222.99626734952</v>
      </c>
      <c r="H93" s="25">
        <f t="shared" si="348"/>
        <v>-117453.65100000006</v>
      </c>
      <c r="I93" s="25">
        <f t="shared" si="250"/>
        <v>29368.73000000004</v>
      </c>
      <c r="J93" s="25">
        <f t="shared" si="251"/>
        <v>-146822.38100000011</v>
      </c>
      <c r="K93" s="25"/>
      <c r="L93" s="25">
        <f t="shared" si="347"/>
        <v>2279.5074999999924</v>
      </c>
      <c r="M93" s="48">
        <f t="shared" si="301"/>
        <v>137812.36514166667</v>
      </c>
      <c r="N93" s="61">
        <f t="shared" si="302"/>
        <v>354668.03201803239</v>
      </c>
      <c r="O93" s="48">
        <f t="shared" si="303"/>
        <v>-306223.95305136568</v>
      </c>
      <c r="P93" s="25">
        <f t="shared" si="308"/>
        <v>347835.3593688212</v>
      </c>
      <c r="Q93" s="25">
        <f t="shared" si="309"/>
        <v>-222153.80880728277</v>
      </c>
      <c r="R93" s="48">
        <f t="shared" si="344"/>
        <v>1367232.6524</v>
      </c>
      <c r="S93" s="25">
        <f t="shared" si="345"/>
        <v>179685.86800000002</v>
      </c>
      <c r="T93" s="25">
        <f t="shared" si="310"/>
        <v>1418522.2143234741</v>
      </c>
      <c r="U93" s="25">
        <f t="shared" si="311"/>
        <v>776443.85114146117</v>
      </c>
      <c r="W93" s="25">
        <f t="shared" si="330"/>
        <v>18553278.582000002</v>
      </c>
      <c r="X93" s="157">
        <f t="shared" si="357"/>
        <v>0.16057285761728557</v>
      </c>
      <c r="Y93" s="25">
        <f t="shared" si="331"/>
        <v>3215283.1782606007</v>
      </c>
      <c r="AB93"/>
      <c r="AC93"/>
      <c r="AD93"/>
      <c r="AE93"/>
      <c r="AF93"/>
      <c r="AG93"/>
      <c r="AH93"/>
      <c r="AI93"/>
      <c r="AJ93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48"/>
      <c r="BB93"/>
      <c r="DI93" s="6"/>
      <c r="DU93" s="55"/>
      <c r="GF93" s="6"/>
      <c r="GG93" s="6"/>
      <c r="GL93" s="563">
        <f>A278</f>
        <v>39078</v>
      </c>
      <c r="GM93" s="215">
        <f>SUM(B276:B278)</f>
        <v>5871096</v>
      </c>
      <c r="GN93" s="215">
        <f>SUM(C276:C278)</f>
        <v>195288</v>
      </c>
      <c r="GO93" s="564">
        <f>((GN93-GN92)^2)^0.5</f>
        <v>590322</v>
      </c>
      <c r="GP93" s="121">
        <f t="shared" si="327"/>
        <v>725091.61679999996</v>
      </c>
      <c r="GQ93" s="121">
        <f t="shared" si="328"/>
        <v>43442.983200000017</v>
      </c>
      <c r="GR93" s="565">
        <f t="shared" si="340"/>
        <v>484288.25</v>
      </c>
      <c r="GS93" s="565">
        <f t="shared" si="349"/>
        <v>136443.5</v>
      </c>
      <c r="GT93" s="565">
        <f t="shared" si="271"/>
        <v>1937153</v>
      </c>
      <c r="GU93" s="565">
        <f t="shared" si="350"/>
        <v>545774</v>
      </c>
      <c r="GV93" s="566">
        <f t="shared" si="282"/>
        <v>1937153</v>
      </c>
      <c r="GW93" s="566">
        <f t="shared" si="351"/>
        <v>545774</v>
      </c>
      <c r="GX93" s="565">
        <f t="shared" si="352"/>
        <v>1391379</v>
      </c>
      <c r="GY93" s="565">
        <f t="shared" si="353"/>
        <v>1241463.5</v>
      </c>
      <c r="GZ93" s="566">
        <f t="shared" si="341"/>
        <v>23536046</v>
      </c>
      <c r="HA93" s="567">
        <f t="shared" si="354"/>
        <v>8.2305795969297477E-2</v>
      </c>
      <c r="HB93" s="568">
        <f t="shared" si="355"/>
        <v>2.5493684198954147</v>
      </c>
      <c r="HC93" s="569">
        <f t="shared" si="356"/>
        <v>0.11709295542225923</v>
      </c>
      <c r="HD93" s="53"/>
      <c r="HE93" s="53"/>
      <c r="HF93" s="182"/>
    </row>
    <row r="94" spans="1:219">
      <c r="A94" s="24">
        <v>33450</v>
      </c>
      <c r="B94" s="48">
        <f t="shared" si="342"/>
        <v>1634733.6044000001</v>
      </c>
      <c r="C94" s="75">
        <f t="shared" si="343"/>
        <v>291550.50800000003</v>
      </c>
      <c r="D94" s="25">
        <f t="shared" si="313"/>
        <v>140487.45550000001</v>
      </c>
      <c r="E94" s="25">
        <f t="shared" ref="E94:E109" si="358">AVERAGE(C83:C94)</f>
        <v>2827.4047500000015</v>
      </c>
      <c r="F94" s="48">
        <f t="shared" si="299"/>
        <v>26717.914616666665</v>
      </c>
      <c r="G94" s="48">
        <f t="shared" si="300"/>
        <v>168134.64697369901</v>
      </c>
      <c r="H94" s="25">
        <f t="shared" si="348"/>
        <v>33928.857000000018</v>
      </c>
      <c r="I94" s="25">
        <f t="shared" si="250"/>
        <v>137296.73000000004</v>
      </c>
      <c r="J94" s="25">
        <f t="shared" si="251"/>
        <v>-103367.87300000002</v>
      </c>
      <c r="K94" s="25"/>
      <c r="L94" s="25">
        <f t="shared" si="347"/>
        <v>365942.28050000005</v>
      </c>
      <c r="M94" s="48">
        <f t="shared" si="301"/>
        <v>143580.78648333333</v>
      </c>
      <c r="N94" s="61">
        <f t="shared" si="302"/>
        <v>362987.2085640647</v>
      </c>
      <c r="O94" s="48">
        <f t="shared" si="303"/>
        <v>-309551.37933073135</v>
      </c>
      <c r="P94" s="25">
        <f t="shared" si="308"/>
        <v>347835.3593688212</v>
      </c>
      <c r="Q94" s="25">
        <f t="shared" si="309"/>
        <v>-222153.80880728277</v>
      </c>
      <c r="R94" s="48">
        <f t="shared" si="344"/>
        <v>1634733.6044000001</v>
      </c>
      <c r="S94" s="25">
        <f t="shared" si="345"/>
        <v>267500.95200000005</v>
      </c>
      <c r="T94" s="25">
        <f t="shared" si="310"/>
        <v>1418522.2143234741</v>
      </c>
      <c r="U94" s="25">
        <f t="shared" si="311"/>
        <v>776443.85114146117</v>
      </c>
      <c r="W94" s="25">
        <f t="shared" si="330"/>
        <v>18463600.786400005</v>
      </c>
      <c r="X94" s="157">
        <f t="shared" si="357"/>
        <v>0.12125695685709358</v>
      </c>
      <c r="Y94" s="25">
        <f t="shared" si="331"/>
        <v>3199742.016283121</v>
      </c>
      <c r="AB94"/>
      <c r="AC94"/>
      <c r="AD94"/>
      <c r="AE94"/>
      <c r="AF94"/>
      <c r="AG94"/>
      <c r="AH94"/>
      <c r="AI94"/>
      <c r="AJ94"/>
      <c r="AK94" s="68"/>
      <c r="AL94" s="68"/>
      <c r="AM94" s="68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68"/>
      <c r="AY94" s="68"/>
      <c r="AZ94" s="68"/>
      <c r="BA94" s="48"/>
      <c r="BB94"/>
      <c r="DI94" s="6"/>
      <c r="DU94" s="55"/>
      <c r="GF94" s="6"/>
      <c r="GG94" s="6"/>
      <c r="GL94" s="619">
        <f>A281</f>
        <v>39171</v>
      </c>
      <c r="GM94" s="620">
        <f>SUM(B279:B281)</f>
        <v>5034581</v>
      </c>
      <c r="GN94" s="620">
        <f>SUM(C279:C281)</f>
        <v>114529</v>
      </c>
      <c r="GO94" s="621" t="e">
        <f>((#REF!-GH131)^2)^0.5</f>
        <v>#REF!</v>
      </c>
      <c r="GP94" s="127">
        <f t="shared" si="327"/>
        <v>725091.61679999996</v>
      </c>
      <c r="GQ94" s="127">
        <f t="shared" si="328"/>
        <v>43442.983200000017</v>
      </c>
      <c r="GR94" s="48">
        <f>AVERAGE(GN91:GN93)</f>
        <v>959180.66666666663</v>
      </c>
      <c r="GS94" s="289">
        <f t="shared" si="349"/>
        <v>-174866.25</v>
      </c>
      <c r="GT94" s="48">
        <f>SUM(GN91:GN93)</f>
        <v>2877542</v>
      </c>
      <c r="GU94" s="289">
        <f t="shared" si="350"/>
        <v>-699465</v>
      </c>
      <c r="GV94" s="622">
        <f>SUM(GN91:GN93)</f>
        <v>2877542</v>
      </c>
      <c r="GW94" s="622">
        <f t="shared" si="351"/>
        <v>-699465</v>
      </c>
      <c r="GX94" s="289">
        <f t="shared" si="352"/>
        <v>3577007</v>
      </c>
      <c r="GY94" s="48">
        <f t="shared" si="353"/>
        <v>1089038.5</v>
      </c>
      <c r="GZ94" s="622">
        <f>SUM(GM91:GM93)</f>
        <v>19706366</v>
      </c>
      <c r="HA94" s="623">
        <f t="shared" si="354"/>
        <v>0.14602093556975446</v>
      </c>
      <c r="HB94" s="624">
        <f t="shared" si="355"/>
        <v>-5.113918494849635</v>
      </c>
      <c r="HC94" s="625">
        <f t="shared" si="356"/>
        <v>-7.941256070243664E-3</v>
      </c>
      <c r="HD94" s="53"/>
      <c r="HE94" s="53"/>
      <c r="HF94" s="182"/>
    </row>
    <row r="95" spans="1:219">
      <c r="A95" s="24">
        <v>33481</v>
      </c>
      <c r="B95" s="48">
        <f t="shared" si="342"/>
        <v>1259465.1196000001</v>
      </c>
      <c r="C95" s="75">
        <f t="shared" si="343"/>
        <v>39405.045999999995</v>
      </c>
      <c r="D95" s="25">
        <f t="shared" si="313"/>
        <v>256563.78149999998</v>
      </c>
      <c r="E95" s="25">
        <f t="shared" si="358"/>
        <v>-12056.341416666664</v>
      </c>
      <c r="F95" s="48">
        <f t="shared" si="299"/>
        <v>23519.565383333331</v>
      </c>
      <c r="G95" s="48">
        <f t="shared" si="300"/>
        <v>165988.4222845367</v>
      </c>
      <c r="H95" s="25">
        <f t="shared" si="348"/>
        <v>-144676.09699999998</v>
      </c>
      <c r="I95" s="25">
        <f t="shared" si="250"/>
        <v>321402.32</v>
      </c>
      <c r="J95" s="25">
        <f t="shared" si="251"/>
        <v>-466078.41700000002</v>
      </c>
      <c r="K95" s="25"/>
      <c r="L95" s="25">
        <f t="shared" si="347"/>
        <v>252145.46200000003</v>
      </c>
      <c r="M95" s="48">
        <f t="shared" si="301"/>
        <v>146291.41084999999</v>
      </c>
      <c r="N95" s="61">
        <f t="shared" si="302"/>
        <v>355496.40995240671</v>
      </c>
      <c r="O95" s="48">
        <f t="shared" si="303"/>
        <v>-308457.2791857401</v>
      </c>
      <c r="P95" s="25">
        <f t="shared" si="308"/>
        <v>347835.3593688212</v>
      </c>
      <c r="Q95" s="25">
        <f t="shared" si="309"/>
        <v>-222153.80880728277</v>
      </c>
      <c r="R95" s="48">
        <f t="shared" si="344"/>
        <v>1259465.1196000001</v>
      </c>
      <c r="S95" s="25">
        <f t="shared" si="345"/>
        <v>375268.48479999998</v>
      </c>
      <c r="T95" s="25">
        <f t="shared" si="310"/>
        <v>1418522.2143234741</v>
      </c>
      <c r="U95" s="25">
        <f t="shared" si="311"/>
        <v>776443.85114146117</v>
      </c>
      <c r="W95" s="25">
        <f t="shared" si="330"/>
        <v>17970984.506000001</v>
      </c>
      <c r="X95" s="157">
        <f t="shared" si="357"/>
        <v>6.1761445441247016E-2</v>
      </c>
      <c r="Y95" s="25">
        <f t="shared" si="331"/>
        <v>3114371.6148898005</v>
      </c>
      <c r="AB95"/>
      <c r="AC95"/>
      <c r="AD95"/>
      <c r="AE95"/>
      <c r="AF95"/>
      <c r="AG95"/>
      <c r="AH95"/>
      <c r="AI95"/>
      <c r="AJ95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48"/>
      <c r="BB95"/>
      <c r="DI95" s="6"/>
      <c r="DU95" s="55"/>
      <c r="GF95" s="6"/>
      <c r="GG95" s="6"/>
      <c r="GL95" s="619">
        <f>A284</f>
        <v>39262</v>
      </c>
      <c r="GM95" s="620">
        <f>SUM(B282:B284)</f>
        <v>5235394</v>
      </c>
      <c r="GN95" s="620">
        <f>SUM(C282:C284)</f>
        <v>1251253</v>
      </c>
      <c r="GO95" s="621" t="e">
        <f>((#REF!-#REF!)^2)^0.5</f>
        <v>#REF!</v>
      </c>
      <c r="GP95" s="127">
        <f t="shared" si="327"/>
        <v>725091.61679999996</v>
      </c>
      <c r="GQ95" s="127">
        <f t="shared" si="328"/>
        <v>43442.983200000017</v>
      </c>
      <c r="GR95" s="48">
        <f>AVERAGE(GN92:GN93)</f>
        <v>490449</v>
      </c>
      <c r="GS95" s="289">
        <f t="shared" si="349"/>
        <v>299516</v>
      </c>
      <c r="GT95" s="48">
        <f>SUM(GN92:GN93)</f>
        <v>980898</v>
      </c>
      <c r="GU95" s="289">
        <f t="shared" si="350"/>
        <v>1198064</v>
      </c>
      <c r="GV95" s="622">
        <f>SUM(GN92:GN93)</f>
        <v>980898</v>
      </c>
      <c r="GW95" s="622">
        <f t="shared" si="351"/>
        <v>1198064</v>
      </c>
      <c r="GX95" s="289">
        <f t="shared" si="352"/>
        <v>-217166</v>
      </c>
      <c r="GY95" s="48">
        <f t="shared" si="353"/>
        <v>1089481</v>
      </c>
      <c r="GZ95" s="622">
        <f>SUM(GM92:GM93)</f>
        <v>12104100</v>
      </c>
      <c r="HA95" s="623">
        <f t="shared" si="354"/>
        <v>8.1038491089796022E-2</v>
      </c>
      <c r="HB95" s="624">
        <f t="shared" si="355"/>
        <v>-0.18126410609116039</v>
      </c>
      <c r="HC95" s="625">
        <f t="shared" si="356"/>
        <v>-0.4555301735631675</v>
      </c>
      <c r="HD95" s="53"/>
      <c r="HE95" s="53"/>
      <c r="HF95" s="182"/>
    </row>
    <row r="96" spans="1:219">
      <c r="A96" s="24">
        <v>33511</v>
      </c>
      <c r="B96" s="48">
        <f t="shared" si="342"/>
        <v>1235232.4664</v>
      </c>
      <c r="C96" s="75">
        <f t="shared" si="343"/>
        <v>-24267.563500000004</v>
      </c>
      <c r="D96" s="25">
        <f t="shared" si="313"/>
        <v>306687.99050000001</v>
      </c>
      <c r="E96" s="25">
        <f t="shared" si="358"/>
        <v>-24926.221708333327</v>
      </c>
      <c r="F96" s="48">
        <f t="shared" si="299"/>
        <v>23735.372658333334</v>
      </c>
      <c r="G96" s="48">
        <f t="shared" si="300"/>
        <v>165916.52128255434</v>
      </c>
      <c r="H96" s="25">
        <f t="shared" si="348"/>
        <v>-299114.66049999994</v>
      </c>
      <c r="I96" s="25">
        <f t="shared" si="250"/>
        <v>373298.32</v>
      </c>
      <c r="J96" s="25">
        <f t="shared" si="251"/>
        <v>-672412.98049999995</v>
      </c>
      <c r="K96" s="25"/>
      <c r="L96" s="25">
        <f t="shared" si="347"/>
        <v>63672.609499999999</v>
      </c>
      <c r="M96" s="48">
        <f t="shared" si="301"/>
        <v>142877.25434166667</v>
      </c>
      <c r="N96" s="61">
        <f t="shared" si="302"/>
        <v>355568.41522344202</v>
      </c>
      <c r="O96" s="48">
        <f t="shared" si="303"/>
        <v>-308097.66990677535</v>
      </c>
      <c r="P96" s="25">
        <f t="shared" si="308"/>
        <v>347835.3593688212</v>
      </c>
      <c r="Q96" s="25">
        <f t="shared" si="309"/>
        <v>-222153.80880728277</v>
      </c>
      <c r="R96" s="48">
        <f t="shared" si="344"/>
        <v>1235232.4664</v>
      </c>
      <c r="S96" s="25">
        <f t="shared" si="345"/>
        <v>24232.653200000059</v>
      </c>
      <c r="T96" s="25">
        <f t="shared" si="310"/>
        <v>1418522.2143234741</v>
      </c>
      <c r="U96" s="25">
        <f t="shared" si="311"/>
        <v>776443.85114146117</v>
      </c>
      <c r="W96" s="25">
        <f t="shared" si="330"/>
        <v>17391344.972400002</v>
      </c>
      <c r="X96" s="157">
        <f t="shared" si="357"/>
        <v>-4.4051338118133434E-3</v>
      </c>
      <c r="Y96" s="25">
        <f t="shared" si="331"/>
        <v>3013920.0837169206</v>
      </c>
      <c r="AB96"/>
      <c r="AC96"/>
      <c r="AD96"/>
      <c r="AE96"/>
      <c r="AF96"/>
      <c r="AG96"/>
      <c r="AH96"/>
      <c r="AI96"/>
      <c r="AJ96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48"/>
      <c r="BB96" s="68"/>
      <c r="DI96" s="6"/>
      <c r="DU96" s="55"/>
      <c r="GF96" s="6"/>
      <c r="GG96" s="6"/>
      <c r="GL96" s="619">
        <f>A287</f>
        <v>39354</v>
      </c>
      <c r="GM96" s="620">
        <f>SUM(B285:B287)</f>
        <v>5762830</v>
      </c>
      <c r="GN96" s="620">
        <f>SUM(C285:C287)</f>
        <v>996570</v>
      </c>
      <c r="GO96" s="621" t="e">
        <f>((#REF!-#REF!)^2)^0.5</f>
        <v>#REF!</v>
      </c>
      <c r="GP96" s="127">
        <f t="shared" si="327"/>
        <v>725091.61679999996</v>
      </c>
      <c r="GQ96" s="127">
        <f t="shared" si="328"/>
        <v>43442.983200000017</v>
      </c>
      <c r="GR96" s="48">
        <f>AVERAGE(GN93:GN93)</f>
        <v>195288</v>
      </c>
      <c r="GS96" s="289">
        <f t="shared" si="349"/>
        <v>352470.25</v>
      </c>
      <c r="GT96" s="48">
        <f>SUM(GN93:GN93)</f>
        <v>195288</v>
      </c>
      <c r="GU96" s="289">
        <f t="shared" si="350"/>
        <v>1409881</v>
      </c>
      <c r="GV96" s="622">
        <f>SUM(GN93:GN93)</f>
        <v>195288</v>
      </c>
      <c r="GW96" s="622">
        <f t="shared" si="351"/>
        <v>1409881</v>
      </c>
      <c r="GX96" s="289">
        <f t="shared" si="352"/>
        <v>-1214593</v>
      </c>
      <c r="GY96" s="48">
        <f t="shared" si="353"/>
        <v>802584.5</v>
      </c>
      <c r="GZ96" s="622">
        <f>SUM(GM93:GM93)</f>
        <v>5871096</v>
      </c>
      <c r="HA96" s="623">
        <f t="shared" si="354"/>
        <v>3.3262613999157906E-2</v>
      </c>
      <c r="HB96" s="624">
        <f t="shared" si="355"/>
        <v>-0.86148618216714745</v>
      </c>
      <c r="HC96" s="625">
        <f t="shared" si="356"/>
        <v>-0.74137460300483349</v>
      </c>
      <c r="HD96" s="53"/>
      <c r="HE96" s="53"/>
      <c r="HF96" s="182"/>
    </row>
    <row r="97" spans="1:214">
      <c r="A97" s="24">
        <v>33542</v>
      </c>
      <c r="B97" s="48">
        <f t="shared" si="342"/>
        <v>1583553.7135999999</v>
      </c>
      <c r="C97" s="75">
        <f t="shared" si="343"/>
        <v>249705.67149999997</v>
      </c>
      <c r="D97" s="25">
        <f t="shared" si="313"/>
        <v>264843.15399999992</v>
      </c>
      <c r="E97" s="25">
        <f t="shared" si="358"/>
        <v>-28177.582416666683</v>
      </c>
      <c r="F97" s="48">
        <f t="shared" si="299"/>
        <v>29778.583849999999</v>
      </c>
      <c r="G97" s="48">
        <f t="shared" si="300"/>
        <v>167452.24005127139</v>
      </c>
      <c r="H97" s="25">
        <f t="shared" si="348"/>
        <v>-338130.98900000018</v>
      </c>
      <c r="I97" s="25">
        <f t="shared" si="250"/>
        <v>471479.19</v>
      </c>
      <c r="J97" s="25">
        <f t="shared" si="251"/>
        <v>-809610.17900000024</v>
      </c>
      <c r="K97" s="25"/>
      <c r="L97" s="25">
        <f t="shared" si="347"/>
        <v>273973.23499999999</v>
      </c>
      <c r="M97" s="48">
        <f t="shared" si="301"/>
        <v>146182.29159166667</v>
      </c>
      <c r="N97" s="61">
        <f t="shared" si="302"/>
        <v>364683.06395254278</v>
      </c>
      <c r="O97" s="48">
        <f t="shared" si="303"/>
        <v>-305125.89625254279</v>
      </c>
      <c r="P97" s="25">
        <f t="shared" si="308"/>
        <v>347835.3593688212</v>
      </c>
      <c r="Q97" s="25">
        <f t="shared" si="309"/>
        <v>-222153.80880728277</v>
      </c>
      <c r="R97" s="48">
        <f t="shared" si="344"/>
        <v>1583553.7135999999</v>
      </c>
      <c r="S97" s="25">
        <f t="shared" si="345"/>
        <v>348321.24719999987</v>
      </c>
      <c r="T97" s="25">
        <f t="shared" si="310"/>
        <v>1418522.2143234741</v>
      </c>
      <c r="U97" s="25">
        <f t="shared" si="311"/>
        <v>776443.85114146117</v>
      </c>
      <c r="W97" s="25">
        <f t="shared" si="330"/>
        <v>16998268.685999997</v>
      </c>
      <c r="X97" s="157">
        <f t="shared" si="357"/>
        <v>-6.436883589334215E-2</v>
      </c>
      <c r="Y97" s="25">
        <f t="shared" si="331"/>
        <v>2945799.9632837996</v>
      </c>
      <c r="AB97"/>
      <c r="AC97"/>
      <c r="AD97"/>
      <c r="AE97"/>
      <c r="AF97"/>
      <c r="AG97"/>
      <c r="AH97"/>
      <c r="AI97"/>
      <c r="AJ97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48"/>
      <c r="BB97" s="68"/>
      <c r="DI97" s="6"/>
      <c r="DU97" s="55"/>
      <c r="GF97" s="6"/>
      <c r="GG97" s="6"/>
      <c r="GL97" s="563">
        <f>A290</f>
        <v>39446</v>
      </c>
      <c r="GM97" s="215">
        <f>SUM(B288:B290)</f>
        <v>5036208</v>
      </c>
      <c r="GN97" s="215">
        <f>SUM(C288:C290)</f>
        <v>-416639</v>
      </c>
      <c r="GO97" s="564" t="e">
        <f>((#REF!-#REF!)^2)^0.5</f>
        <v>#REF!</v>
      </c>
      <c r="GP97" s="121">
        <f t="shared" si="327"/>
        <v>725091.61679999996</v>
      </c>
      <c r="GQ97" s="121">
        <f t="shared" si="328"/>
        <v>43442.983200000017</v>
      </c>
      <c r="GR97" s="565" t="e">
        <f>AVERAGE(#REF!)</f>
        <v>#REF!</v>
      </c>
      <c r="GS97" s="565">
        <f t="shared" si="349"/>
        <v>484288.25</v>
      </c>
      <c r="GT97" s="565" t="e">
        <f>SUM(#REF!)</f>
        <v>#REF!</v>
      </c>
      <c r="GU97" s="565">
        <f t="shared" si="350"/>
        <v>1937153</v>
      </c>
      <c r="GV97" s="566" t="e">
        <f>SUM(#REF!)</f>
        <v>#REF!</v>
      </c>
      <c r="GW97" s="566">
        <f t="shared" si="351"/>
        <v>1937153</v>
      </c>
      <c r="GX97" s="565" t="e">
        <f t="shared" si="352"/>
        <v>#REF!</v>
      </c>
      <c r="GY97" s="565" t="e">
        <f t="shared" si="353"/>
        <v>#REF!</v>
      </c>
      <c r="GZ97" s="566" t="e">
        <f>SUM(#REF!)</f>
        <v>#REF!</v>
      </c>
      <c r="HA97" s="567" t="e">
        <f t="shared" si="354"/>
        <v>#REF!</v>
      </c>
      <c r="HB97" s="568" t="e">
        <f t="shared" si="355"/>
        <v>#REF!</v>
      </c>
      <c r="HC97" s="569" t="e">
        <f t="shared" si="356"/>
        <v>#REF!</v>
      </c>
      <c r="HD97" s="53"/>
      <c r="HE97" s="53"/>
      <c r="HF97" s="182"/>
    </row>
    <row r="98" spans="1:214">
      <c r="A98" s="24">
        <v>33572</v>
      </c>
      <c r="B98" s="48">
        <f t="shared" si="342"/>
        <v>1159654.3356000001</v>
      </c>
      <c r="C98" s="75">
        <f t="shared" si="343"/>
        <v>-218842.198</v>
      </c>
      <c r="D98" s="25">
        <f t="shared" si="313"/>
        <v>6595.9099999999598</v>
      </c>
      <c r="E98" s="25">
        <f t="shared" si="358"/>
        <v>-45758.265583333348</v>
      </c>
      <c r="F98" s="48">
        <f t="shared" si="299"/>
        <v>26854.847216666665</v>
      </c>
      <c r="G98" s="48">
        <f t="shared" si="300"/>
        <v>170259.84967746859</v>
      </c>
      <c r="H98" s="25">
        <f t="shared" si="348"/>
        <v>-549099.18700000015</v>
      </c>
      <c r="I98" s="25">
        <f t="shared" si="250"/>
        <v>451942.88000000006</v>
      </c>
      <c r="J98" s="25">
        <f t="shared" si="251"/>
        <v>-1001042.0670000003</v>
      </c>
      <c r="K98" s="25"/>
      <c r="L98" s="25">
        <f t="shared" si="347"/>
        <v>468547.86949999997</v>
      </c>
      <c r="M98" s="48">
        <f t="shared" si="301"/>
        <v>152833.60608333335</v>
      </c>
      <c r="N98" s="61">
        <f t="shared" si="302"/>
        <v>367374.54657160386</v>
      </c>
      <c r="O98" s="48">
        <f t="shared" si="303"/>
        <v>-313664.85213827051</v>
      </c>
      <c r="P98" s="25">
        <f t="shared" si="308"/>
        <v>347835.3593688212</v>
      </c>
      <c r="Q98" s="25">
        <f t="shared" si="309"/>
        <v>-222153.80880728277</v>
      </c>
      <c r="R98" s="48">
        <f t="shared" si="344"/>
        <v>1159654.3356000001</v>
      </c>
      <c r="S98" s="25">
        <f t="shared" si="345"/>
        <v>423899.37799999979</v>
      </c>
      <c r="T98" s="25">
        <f t="shared" si="310"/>
        <v>1418522.2143234741</v>
      </c>
      <c r="U98" s="25">
        <f t="shared" si="311"/>
        <v>776443.85114146117</v>
      </c>
      <c r="W98" s="25">
        <f t="shared" si="330"/>
        <v>16500858.021599999</v>
      </c>
      <c r="X98" s="157">
        <f t="shared" si="357"/>
        <v>-0.11082182173893387</v>
      </c>
      <c r="Y98" s="25">
        <f t="shared" si="331"/>
        <v>2859598.6951432801</v>
      </c>
      <c r="AB98"/>
      <c r="AC98"/>
      <c r="AD98"/>
      <c r="AE98"/>
      <c r="AF98"/>
      <c r="AG98"/>
      <c r="AH98"/>
      <c r="AI98"/>
      <c r="AJ9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48"/>
      <c r="BB98" s="68"/>
      <c r="DI98" s="6"/>
      <c r="DU98" s="55"/>
      <c r="GF98" s="6"/>
      <c r="GG98" s="6"/>
      <c r="GL98" s="619"/>
      <c r="GM98" s="180"/>
      <c r="GN98" s="180"/>
      <c r="GT98" s="6"/>
      <c r="GU98" s="6"/>
      <c r="GV98" s="6"/>
      <c r="GW98" s="6"/>
      <c r="GX98" s="6"/>
      <c r="GY98" s="6"/>
      <c r="HA98" s="53"/>
      <c r="HB98" s="53"/>
      <c r="HC98" s="53"/>
      <c r="HD98" s="53"/>
      <c r="HE98" s="53"/>
      <c r="HF98" s="182"/>
    </row>
    <row r="99" spans="1:214">
      <c r="A99" s="24">
        <v>33603</v>
      </c>
      <c r="B99" s="75">
        <f t="shared" ref="B99:B110" si="359">BQ3</f>
        <v>1030179.048</v>
      </c>
      <c r="C99" s="48">
        <f t="shared" ref="C99:C110" si="360">AJ3</f>
        <v>-163729.00200000001</v>
      </c>
      <c r="D99" s="25">
        <f t="shared" si="313"/>
        <v>-132865.52850000004</v>
      </c>
      <c r="E99" s="25">
        <f t="shared" si="358"/>
        <v>-35665.631250000006</v>
      </c>
      <c r="F99" s="48">
        <f t="shared" si="299"/>
        <v>28724.380516666664</v>
      </c>
      <c r="G99" s="48">
        <f t="shared" si="300"/>
        <v>167472.13072436803</v>
      </c>
      <c r="H99" s="25">
        <f t="shared" si="348"/>
        <v>-427987.57500000007</v>
      </c>
      <c r="I99" s="25">
        <f t="shared" si="250"/>
        <v>444840.266</v>
      </c>
      <c r="J99" s="25">
        <f t="shared" si="251"/>
        <v>-872827.84100000001</v>
      </c>
      <c r="K99" s="25"/>
      <c r="L99" s="25">
        <f t="shared" si="347"/>
        <v>55113.195999999996</v>
      </c>
      <c r="M99" s="48">
        <f t="shared" si="301"/>
        <v>149877.44268333336</v>
      </c>
      <c r="N99" s="61">
        <f t="shared" si="302"/>
        <v>363668.64196540276</v>
      </c>
      <c r="O99" s="48">
        <f t="shared" si="303"/>
        <v>-306219.88093206938</v>
      </c>
      <c r="P99" s="25">
        <f t="shared" si="308"/>
        <v>347835.3593688212</v>
      </c>
      <c r="Q99" s="25">
        <f t="shared" si="309"/>
        <v>-222153.80880728277</v>
      </c>
      <c r="R99" s="95">
        <f t="shared" ref="R99:R110" si="361">BQ3</f>
        <v>1030179.048</v>
      </c>
      <c r="S99" s="25">
        <f t="shared" si="345"/>
        <v>129475.28760000016</v>
      </c>
      <c r="T99" s="25">
        <f t="shared" si="310"/>
        <v>1418522.2143234741</v>
      </c>
      <c r="U99" s="25">
        <f t="shared" si="311"/>
        <v>776443.85114146117</v>
      </c>
      <c r="W99" s="25">
        <f t="shared" si="330"/>
        <v>16505960.830799999</v>
      </c>
      <c r="X99" s="157">
        <f t="shared" si="357"/>
        <v>-0.11895230894199794</v>
      </c>
      <c r="Y99" s="25">
        <f t="shared" si="331"/>
        <v>2860483.01197764</v>
      </c>
      <c r="AB99"/>
      <c r="AC99"/>
      <c r="AD99"/>
      <c r="AE99"/>
      <c r="AF99"/>
      <c r="AG99"/>
      <c r="AH99"/>
      <c r="AI99"/>
      <c r="AJ99"/>
      <c r="AK99" s="68"/>
      <c r="AL99" s="68"/>
      <c r="AM99" s="68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68"/>
      <c r="AY99" s="68"/>
      <c r="AZ99" s="68"/>
      <c r="BA99" s="48">
        <f t="shared" ref="BA99:BA104" si="362">AVERAGE(GN2:GN9)</f>
        <v>167472.375</v>
      </c>
      <c r="BB99" s="68"/>
      <c r="DI99" s="6"/>
      <c r="DU99" s="55"/>
      <c r="GF99" s="6"/>
      <c r="GG99" s="6"/>
      <c r="GL99" s="619"/>
      <c r="GM99" s="180"/>
      <c r="GN99" s="180"/>
      <c r="GT99" s="6"/>
      <c r="GU99" s="6"/>
      <c r="GV99" s="6"/>
      <c r="GW99" s="6"/>
      <c r="GX99" s="6"/>
      <c r="GY99" s="6"/>
      <c r="HA99" s="53"/>
      <c r="HB99" s="53"/>
      <c r="HC99" s="53"/>
      <c r="HD99" s="53"/>
      <c r="HE99" s="53"/>
      <c r="HF99" s="182"/>
    </row>
    <row r="100" spans="1:214">
      <c r="A100" s="24">
        <v>33634</v>
      </c>
      <c r="B100" s="75">
        <f t="shared" si="359"/>
        <v>1382684.8384</v>
      </c>
      <c r="C100" s="48">
        <f t="shared" si="360"/>
        <v>136266.592</v>
      </c>
      <c r="D100" s="25">
        <f t="shared" si="313"/>
        <v>-246304.60800000001</v>
      </c>
      <c r="E100" s="25">
        <f t="shared" si="358"/>
        <v>-19139.512749999998</v>
      </c>
      <c r="F100" s="48">
        <f t="shared" si="299"/>
        <v>32770.823716666673</v>
      </c>
      <c r="G100" s="48">
        <f t="shared" si="300"/>
        <v>167081.62129134737</v>
      </c>
      <c r="H100" s="25">
        <f t="shared" si="348"/>
        <v>-229674.15299999999</v>
      </c>
      <c r="I100" s="25">
        <f t="shared" si="250"/>
        <v>538134.76599999995</v>
      </c>
      <c r="J100" s="25">
        <f t="shared" si="251"/>
        <v>-767808.91899999999</v>
      </c>
      <c r="K100" s="25">
        <f>AVERAGE(C98+C99+C100)</f>
        <v>-246304.60800000001</v>
      </c>
      <c r="L100" s="25">
        <f t="shared" si="347"/>
        <v>299995.59400000004</v>
      </c>
      <c r="M100" s="48">
        <f t="shared" si="301"/>
        <v>152054.35258333336</v>
      </c>
      <c r="N100" s="61">
        <f t="shared" si="302"/>
        <v>366934.06629936141</v>
      </c>
      <c r="O100" s="48">
        <f t="shared" si="303"/>
        <v>-301392.41886602808</v>
      </c>
      <c r="P100" s="25">
        <f t="shared" ref="P100:P127" si="363">$C$317+1.88*$L$317</f>
        <v>347835.3593688212</v>
      </c>
      <c r="Q100" s="25">
        <f t="shared" ref="Q100:Q127" si="364">$C$317-1.88*$L$317</f>
        <v>-222153.80880728277</v>
      </c>
      <c r="R100" s="95">
        <f t="shared" si="361"/>
        <v>1382684.8384</v>
      </c>
      <c r="S100" s="25">
        <f t="shared" si="345"/>
        <v>352505.79040000006</v>
      </c>
      <c r="T100" s="25">
        <f t="shared" ref="T100:T136" si="365">$R$317+1.88*$S$317</f>
        <v>1418522.2143234741</v>
      </c>
      <c r="U100" s="25">
        <f t="shared" ref="U100:U136" si="366">$R$317-1.88*$S$317</f>
        <v>776443.85114146117</v>
      </c>
      <c r="W100" s="25">
        <f t="shared" si="330"/>
        <v>16475906.25</v>
      </c>
      <c r="X100" s="157">
        <f t="shared" si="357"/>
        <v>-0.1331838727240244</v>
      </c>
      <c r="Y100" s="25">
        <f t="shared" si="331"/>
        <v>2855274.5531250001</v>
      </c>
      <c r="AB100"/>
      <c r="AC100"/>
      <c r="AD100"/>
      <c r="AE100"/>
      <c r="AF100"/>
      <c r="AG100"/>
      <c r="AH100"/>
      <c r="AI100"/>
      <c r="AJ100"/>
      <c r="AK100" s="69"/>
      <c r="AL100" s="69"/>
      <c r="AM100" s="6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48">
        <f t="shared" si="362"/>
        <v>177455.75</v>
      </c>
      <c r="BB100" s="69"/>
      <c r="DI100" s="6"/>
      <c r="DU100" s="55"/>
      <c r="GF100" s="6"/>
      <c r="GG100" s="6"/>
      <c r="GL100" s="619"/>
      <c r="GM100" s="180"/>
      <c r="GN100" s="180"/>
      <c r="GT100" s="6"/>
      <c r="GU100" s="6"/>
      <c r="GV100" s="6"/>
      <c r="GW100" s="6"/>
      <c r="GX100" s="6"/>
      <c r="GY100" s="6"/>
      <c r="HA100" s="53"/>
      <c r="HB100" s="53"/>
      <c r="HC100" s="53"/>
      <c r="HD100" s="53"/>
      <c r="HE100" s="53"/>
      <c r="HF100" s="182"/>
    </row>
    <row r="101" spans="1:214">
      <c r="A101" s="24">
        <v>33663</v>
      </c>
      <c r="B101" s="75">
        <f t="shared" si="359"/>
        <v>1038091.0688</v>
      </c>
      <c r="C101" s="48">
        <f t="shared" si="360"/>
        <v>-238738.992</v>
      </c>
      <c r="D101" s="25">
        <f t="shared" si="313"/>
        <v>-266201.402</v>
      </c>
      <c r="E101" s="25">
        <f t="shared" si="358"/>
        <v>-36694.140000000007</v>
      </c>
      <c r="F101" s="48">
        <f t="shared" si="299"/>
        <v>29802.573850000001</v>
      </c>
      <c r="G101" s="48">
        <f t="shared" si="300"/>
        <v>170319.86072728745</v>
      </c>
      <c r="H101" s="25">
        <f t="shared" si="348"/>
        <v>-440329.68000000005</v>
      </c>
      <c r="I101" s="25">
        <f t="shared" si="250"/>
        <v>407529.30099999992</v>
      </c>
      <c r="J101" s="25">
        <f t="shared" si="251"/>
        <v>-847858.98099999991</v>
      </c>
      <c r="K101" s="25"/>
      <c r="L101" s="25">
        <f t="shared" si="347"/>
        <v>375005.58400000003</v>
      </c>
      <c r="M101" s="48">
        <f t="shared" si="301"/>
        <v>157539.84565000003</v>
      </c>
      <c r="N101" s="61">
        <f t="shared" si="302"/>
        <v>370442.29530457489</v>
      </c>
      <c r="O101" s="48">
        <f t="shared" si="303"/>
        <v>-310837.14760457492</v>
      </c>
      <c r="P101" s="25">
        <f t="shared" si="363"/>
        <v>347835.3593688212</v>
      </c>
      <c r="Q101" s="25">
        <f t="shared" si="364"/>
        <v>-222153.80880728277</v>
      </c>
      <c r="R101" s="95">
        <f t="shared" si="361"/>
        <v>1038091.0688</v>
      </c>
      <c r="S101" s="25">
        <f t="shared" si="345"/>
        <v>344593.7696</v>
      </c>
      <c r="T101" s="25">
        <f t="shared" si="365"/>
        <v>1418522.2143234741</v>
      </c>
      <c r="U101" s="25">
        <f t="shared" si="366"/>
        <v>776443.85114146117</v>
      </c>
      <c r="W101" s="25">
        <f t="shared" si="330"/>
        <v>15887682.448400002</v>
      </c>
      <c r="X101" s="157">
        <f t="shared" si="357"/>
        <v>-0.16775986276988997</v>
      </c>
      <c r="Y101" s="25">
        <f t="shared" si="331"/>
        <v>2753335.3683077204</v>
      </c>
      <c r="AB101"/>
      <c r="AC101"/>
      <c r="AD101"/>
      <c r="AE101"/>
      <c r="AF101"/>
      <c r="AG101"/>
      <c r="AH101"/>
      <c r="AI101"/>
      <c r="AJ101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48">
        <f t="shared" si="362"/>
        <v>196740</v>
      </c>
      <c r="BB101" s="69"/>
      <c r="DI101" s="6"/>
      <c r="DU101" s="55"/>
      <c r="GF101" s="6"/>
      <c r="GG101" s="6"/>
      <c r="GL101" s="563"/>
      <c r="GM101" s="180"/>
      <c r="GN101" s="180"/>
      <c r="GT101" s="6"/>
      <c r="GU101" s="6"/>
      <c r="GV101" s="6"/>
      <c r="GW101" s="6"/>
      <c r="GX101" s="6"/>
      <c r="GY101" s="6"/>
      <c r="HA101" s="53"/>
      <c r="HB101" s="53"/>
      <c r="HC101" s="53"/>
      <c r="HD101" s="53"/>
      <c r="HE101" s="53"/>
      <c r="HF101" s="182"/>
    </row>
    <row r="102" spans="1:214">
      <c r="A102" s="24">
        <v>33694</v>
      </c>
      <c r="B102" s="75">
        <f t="shared" si="359"/>
        <v>1198156.024</v>
      </c>
      <c r="C102" s="48">
        <f t="shared" si="360"/>
        <v>-14044.96000000001</v>
      </c>
      <c r="D102" s="25">
        <f t="shared" si="313"/>
        <v>-116517.36000000002</v>
      </c>
      <c r="E102" s="25">
        <f t="shared" si="358"/>
        <v>-18645.989708333338</v>
      </c>
      <c r="F102" s="48">
        <f t="shared" si="299"/>
        <v>28346.141183333337</v>
      </c>
      <c r="G102" s="48">
        <f t="shared" si="300"/>
        <v>170314.87202984214</v>
      </c>
      <c r="H102" s="25">
        <f t="shared" si="348"/>
        <v>-223751.87650000004</v>
      </c>
      <c r="I102" s="25">
        <f t="shared" si="250"/>
        <v>212359.53749999986</v>
      </c>
      <c r="J102" s="25">
        <f t="shared" si="251"/>
        <v>-436111.41399999987</v>
      </c>
      <c r="K102" s="25"/>
      <c r="L102" s="25">
        <f t="shared" si="347"/>
        <v>224694.03199999998</v>
      </c>
      <c r="M102" s="48">
        <f t="shared" si="301"/>
        <v>159051.66285000002</v>
      </c>
      <c r="N102" s="61">
        <f t="shared" si="302"/>
        <v>368975.88524301763</v>
      </c>
      <c r="O102" s="48">
        <f t="shared" si="303"/>
        <v>-312283.60287635092</v>
      </c>
      <c r="P102" s="25">
        <f t="shared" si="363"/>
        <v>347835.3593688212</v>
      </c>
      <c r="Q102" s="25">
        <f t="shared" si="364"/>
        <v>-222153.80880728277</v>
      </c>
      <c r="R102" s="95">
        <f t="shared" si="361"/>
        <v>1198156.024</v>
      </c>
      <c r="S102" s="25">
        <f t="shared" si="345"/>
        <v>160064.95519999997</v>
      </c>
      <c r="T102" s="25">
        <f t="shared" si="365"/>
        <v>1418522.2143234741</v>
      </c>
      <c r="U102" s="25">
        <f t="shared" si="366"/>
        <v>776443.85114146117</v>
      </c>
      <c r="W102" s="25">
        <f t="shared" si="330"/>
        <v>15803674.197600001</v>
      </c>
      <c r="X102" s="157">
        <f t="shared" si="357"/>
        <v>-0.16504598632149078</v>
      </c>
      <c r="Y102" s="25">
        <f t="shared" si="331"/>
        <v>2738776.7384440806</v>
      </c>
      <c r="AB102"/>
      <c r="AC102"/>
      <c r="AD102"/>
      <c r="AE102"/>
      <c r="AF102"/>
      <c r="AG102"/>
      <c r="AH102"/>
      <c r="AI102"/>
      <c r="AJ102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48">
        <f t="shared" si="362"/>
        <v>184776.125</v>
      </c>
      <c r="BB102" s="69"/>
      <c r="DI102" s="6"/>
      <c r="DU102" s="55"/>
      <c r="GF102" s="6"/>
      <c r="GG102" s="6"/>
      <c r="GL102" s="180"/>
      <c r="GT102" s="6"/>
      <c r="GU102" s="6"/>
      <c r="GV102" s="6"/>
      <c r="GW102" s="6"/>
      <c r="GX102" s="6"/>
      <c r="GY102" s="6"/>
      <c r="GZ102" s="53"/>
      <c r="HA102" s="53"/>
      <c r="HB102" s="53"/>
      <c r="HC102" s="53"/>
      <c r="HD102" s="53"/>
      <c r="HE102" s="53"/>
      <c r="HF102" s="182"/>
    </row>
    <row r="103" spans="1:214">
      <c r="A103" s="231" t="s">
        <v>1396</v>
      </c>
      <c r="B103" s="75">
        <f t="shared" si="359"/>
        <v>1504990.8208000001</v>
      </c>
      <c r="C103" s="48">
        <f t="shared" si="360"/>
        <v>167701.12</v>
      </c>
      <c r="D103" s="25">
        <f t="shared" si="313"/>
        <v>-85082.832000000024</v>
      </c>
      <c r="E103" s="25">
        <f t="shared" si="358"/>
        <v>6161.9307916666667</v>
      </c>
      <c r="F103" s="48">
        <f t="shared" si="299"/>
        <v>28072.843183333327</v>
      </c>
      <c r="G103" s="48">
        <f t="shared" si="300"/>
        <v>170073.69080916169</v>
      </c>
      <c r="H103" s="25">
        <f t="shared" si="348"/>
        <v>73943.169500000004</v>
      </c>
      <c r="I103" s="25">
        <f t="shared" ref="I103:I141" si="367">H91</f>
        <v>248845.08149999994</v>
      </c>
      <c r="J103" s="25">
        <f t="shared" ref="J103:J141" si="368">H103-I103</f>
        <v>-174901.91199999995</v>
      </c>
      <c r="K103" s="25"/>
      <c r="L103" s="25">
        <f t="shared" si="347"/>
        <v>181746.08000000002</v>
      </c>
      <c r="M103" s="48">
        <f t="shared" si="301"/>
        <v>160234.7975166667</v>
      </c>
      <c r="N103" s="61">
        <f t="shared" si="302"/>
        <v>368220.22480165673</v>
      </c>
      <c r="O103" s="48">
        <f t="shared" si="303"/>
        <v>-312074.53843499004</v>
      </c>
      <c r="P103" s="25">
        <f t="shared" si="363"/>
        <v>347835.3593688212</v>
      </c>
      <c r="Q103" s="25">
        <f t="shared" si="364"/>
        <v>-222153.80880728277</v>
      </c>
      <c r="R103" s="95">
        <f t="shared" si="361"/>
        <v>1504990.8208000001</v>
      </c>
      <c r="S103" s="25">
        <f t="shared" si="345"/>
        <v>306834.79680000013</v>
      </c>
      <c r="T103" s="25">
        <f t="shared" si="365"/>
        <v>1418522.2143234741</v>
      </c>
      <c r="U103" s="25">
        <f t="shared" si="366"/>
        <v>776443.85114146117</v>
      </c>
      <c r="W103" s="25">
        <f t="shared" si="330"/>
        <v>15940892.212400002</v>
      </c>
      <c r="X103" s="157">
        <f t="shared" si="357"/>
        <v>-0.15976265948413493</v>
      </c>
      <c r="Y103" s="25">
        <f t="shared" si="331"/>
        <v>2762556.6204089206</v>
      </c>
      <c r="AB103"/>
      <c r="AC103"/>
      <c r="AD103"/>
      <c r="AE103"/>
      <c r="AF103"/>
      <c r="AG103"/>
      <c r="AH103"/>
      <c r="AI103"/>
      <c r="AJ103"/>
      <c r="AK103" s="69"/>
      <c r="AL103" s="69"/>
      <c r="AM103" s="6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48">
        <f t="shared" si="362"/>
        <v>176154.5</v>
      </c>
      <c r="BB103" s="69"/>
      <c r="DI103" s="6"/>
      <c r="DU103" s="55"/>
      <c r="GF103" s="6"/>
      <c r="GG103" s="6"/>
      <c r="GL103" s="180"/>
      <c r="GT103" s="6"/>
      <c r="GU103" s="6"/>
      <c r="GV103" s="6"/>
      <c r="GW103" s="6"/>
      <c r="GX103" s="6"/>
      <c r="GY103" s="6"/>
      <c r="GZ103" s="53"/>
      <c r="HA103" s="53"/>
      <c r="HB103" s="53"/>
      <c r="HC103" s="53"/>
      <c r="HD103" s="53"/>
      <c r="HE103" s="53"/>
      <c r="HF103" s="182"/>
    </row>
    <row r="104" spans="1:214">
      <c r="A104" s="24">
        <v>33755</v>
      </c>
      <c r="B104" s="75">
        <f t="shared" si="359"/>
        <v>1493879.7808000001</v>
      </c>
      <c r="C104" s="48">
        <f t="shared" si="360"/>
        <v>-33528.925000000003</v>
      </c>
      <c r="D104" s="25">
        <f t="shared" si="313"/>
        <v>120127.235</v>
      </c>
      <c r="E104" s="25">
        <f t="shared" si="358"/>
        <v>9757.1270416666612</v>
      </c>
      <c r="F104" s="48">
        <f t="shared" si="299"/>
        <v>25815.577766666658</v>
      </c>
      <c r="G104" s="48">
        <f t="shared" si="300"/>
        <v>169975.87756683762</v>
      </c>
      <c r="H104" s="25">
        <f t="shared" si="348"/>
        <v>117085.52449999993</v>
      </c>
      <c r="I104" s="25">
        <f t="shared" si="367"/>
        <v>-160601.87850000005</v>
      </c>
      <c r="J104" s="25">
        <f t="shared" si="368"/>
        <v>277687.40299999999</v>
      </c>
      <c r="K104" s="25"/>
      <c r="L104" s="25">
        <f t="shared" si="347"/>
        <v>201230.04499999998</v>
      </c>
      <c r="M104" s="48">
        <f t="shared" si="301"/>
        <v>162218.76493333335</v>
      </c>
      <c r="N104" s="61">
        <f t="shared" si="302"/>
        <v>365767.33290034189</v>
      </c>
      <c r="O104" s="48">
        <f t="shared" si="303"/>
        <v>-314136.17736700858</v>
      </c>
      <c r="P104" s="25">
        <f t="shared" si="363"/>
        <v>347835.3593688212</v>
      </c>
      <c r="Q104" s="25">
        <f t="shared" si="364"/>
        <v>-222153.80880728277</v>
      </c>
      <c r="R104" s="95">
        <f t="shared" si="361"/>
        <v>1493879.7808000001</v>
      </c>
      <c r="S104" s="25">
        <f t="shared" si="345"/>
        <v>11111.040000000037</v>
      </c>
      <c r="T104" s="25">
        <f t="shared" si="365"/>
        <v>1418522.2143234741</v>
      </c>
      <c r="U104" s="25">
        <f t="shared" si="366"/>
        <v>776443.85114146117</v>
      </c>
      <c r="W104" s="25">
        <f t="shared" si="330"/>
        <v>15887853.472800003</v>
      </c>
      <c r="X104" s="157">
        <f t="shared" si="357"/>
        <v>-0.14681666936067317</v>
      </c>
      <c r="Y104" s="25">
        <f t="shared" si="331"/>
        <v>2753365.0068362406</v>
      </c>
      <c r="AB104"/>
      <c r="AC104"/>
      <c r="AD104"/>
      <c r="AE104"/>
      <c r="AF104"/>
      <c r="AG104"/>
      <c r="AH104"/>
      <c r="AI104"/>
      <c r="AJ104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48">
        <f t="shared" si="362"/>
        <v>136537.625</v>
      </c>
      <c r="BB104" s="69"/>
      <c r="DI104" s="6"/>
      <c r="DU104" s="55"/>
      <c r="GF104" s="6"/>
      <c r="GG104" s="6"/>
      <c r="GL104" s="180"/>
      <c r="GT104" s="6"/>
      <c r="GU104" s="6"/>
      <c r="GV104" s="6"/>
      <c r="GW104" s="6"/>
      <c r="GX104" s="6"/>
      <c r="GY104" s="6"/>
      <c r="GZ104" s="53"/>
      <c r="HA104" s="53"/>
      <c r="HB104" s="53"/>
      <c r="HC104" s="53"/>
      <c r="HD104" s="53"/>
      <c r="HE104" s="53"/>
      <c r="HF104" s="182"/>
    </row>
    <row r="105" spans="1:214">
      <c r="A105" s="24">
        <v>33785</v>
      </c>
      <c r="B105" s="75">
        <f t="shared" si="359"/>
        <v>1344517.5632</v>
      </c>
      <c r="C105" s="48">
        <f t="shared" si="360"/>
        <v>-351815.72499999998</v>
      </c>
      <c r="D105" s="25">
        <f t="shared" si="313"/>
        <v>-217643.52999999997</v>
      </c>
      <c r="E105" s="25">
        <f t="shared" si="358"/>
        <v>-13361.535666666663</v>
      </c>
      <c r="F105" s="48">
        <f t="shared" si="299"/>
        <v>17530.765683333328</v>
      </c>
      <c r="G105" s="48">
        <f t="shared" si="300"/>
        <v>176060.13883693775</v>
      </c>
      <c r="H105" s="25">
        <f t="shared" si="348"/>
        <v>-160338.42799999996</v>
      </c>
      <c r="I105" s="25">
        <f t="shared" si="367"/>
        <v>-117453.65100000006</v>
      </c>
      <c r="J105" s="25">
        <f t="shared" si="368"/>
        <v>-42884.7769999999</v>
      </c>
      <c r="K105" s="25"/>
      <c r="L105" s="25">
        <f t="shared" ref="L105:L123" si="369">((C104-C105)^2)^0.5</f>
        <v>318286.8</v>
      </c>
      <c r="M105" s="48">
        <f t="shared" si="301"/>
        <v>166800.77826666672</v>
      </c>
      <c r="N105" s="61">
        <f t="shared" si="302"/>
        <v>369651.04335720884</v>
      </c>
      <c r="O105" s="48">
        <f t="shared" si="303"/>
        <v>-334589.51199054217</v>
      </c>
      <c r="P105" s="25">
        <f t="shared" si="363"/>
        <v>347835.3593688212</v>
      </c>
      <c r="Q105" s="25">
        <f t="shared" si="364"/>
        <v>-222153.80880728277</v>
      </c>
      <c r="R105" s="95">
        <f t="shared" si="361"/>
        <v>1344517.5632</v>
      </c>
      <c r="S105" s="25">
        <f t="shared" si="345"/>
        <v>149362.21760000009</v>
      </c>
      <c r="T105" s="25">
        <f t="shared" si="365"/>
        <v>1418522.2143234741</v>
      </c>
      <c r="U105" s="25">
        <f t="shared" si="366"/>
        <v>776443.85114146117</v>
      </c>
      <c r="W105" s="25">
        <f t="shared" si="330"/>
        <v>15865138.383600004</v>
      </c>
      <c r="X105" s="157">
        <f t="shared" si="357"/>
        <v>-0.14488761037674361</v>
      </c>
      <c r="Y105" s="25">
        <f t="shared" si="331"/>
        <v>2749428.4818778806</v>
      </c>
      <c r="AB105"/>
      <c r="AC105"/>
      <c r="AD105"/>
      <c r="AE105"/>
      <c r="AF105"/>
      <c r="AG105"/>
      <c r="AH105"/>
      <c r="AI105"/>
      <c r="AJ105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48">
        <f>AVERAGE(GO8:GO15)</f>
        <v>294080.375</v>
      </c>
      <c r="BB105" s="69"/>
      <c r="DI105" s="6"/>
      <c r="DU105" s="55"/>
      <c r="GF105" s="6"/>
      <c r="GG105" s="6"/>
      <c r="GL105" s="180"/>
      <c r="GT105" s="6"/>
      <c r="GU105" s="6"/>
      <c r="GV105" s="6"/>
      <c r="GW105" s="6"/>
      <c r="GX105" s="6"/>
      <c r="GY105" s="6"/>
      <c r="GZ105" s="53"/>
      <c r="HA105" s="53"/>
      <c r="HB105" s="53"/>
      <c r="HC105" s="53"/>
      <c r="HD105" s="53"/>
      <c r="HE105" s="53"/>
      <c r="HF105" s="182"/>
    </row>
    <row r="106" spans="1:214">
      <c r="A106" s="24">
        <v>33816</v>
      </c>
      <c r="B106" s="75">
        <f t="shared" si="359"/>
        <v>1199828.2047999999</v>
      </c>
      <c r="C106" s="48">
        <f t="shared" si="360"/>
        <v>40817.625000000015</v>
      </c>
      <c r="D106" s="25">
        <f t="shared" si="313"/>
        <v>-344527.02499999997</v>
      </c>
      <c r="E106" s="25">
        <f t="shared" si="358"/>
        <v>-34255.942583333337</v>
      </c>
      <c r="F106" s="48">
        <f t="shared" si="299"/>
        <v>16275.676099999991</v>
      </c>
      <c r="G106" s="48">
        <f t="shared" si="300"/>
        <v>175613.23600299514</v>
      </c>
      <c r="H106" s="25">
        <f t="shared" si="348"/>
        <v>-411071.31100000005</v>
      </c>
      <c r="I106" s="25">
        <f t="shared" si="367"/>
        <v>33928.857000000018</v>
      </c>
      <c r="J106" s="25">
        <f t="shared" si="368"/>
        <v>-445000.16800000006</v>
      </c>
      <c r="K106" s="25"/>
      <c r="L106" s="25">
        <f t="shared" si="369"/>
        <v>392633.35</v>
      </c>
      <c r="M106" s="48">
        <f t="shared" si="301"/>
        <v>172858.83410000004</v>
      </c>
      <c r="N106" s="61">
        <f t="shared" si="302"/>
        <v>367502.14810599026</v>
      </c>
      <c r="O106" s="48">
        <f t="shared" si="303"/>
        <v>-334950.79590599029</v>
      </c>
      <c r="P106" s="25">
        <f t="shared" si="363"/>
        <v>347835.3593688212</v>
      </c>
      <c r="Q106" s="25">
        <f t="shared" si="364"/>
        <v>-222153.80880728277</v>
      </c>
      <c r="R106" s="95">
        <f t="shared" si="361"/>
        <v>1199828.2047999999</v>
      </c>
      <c r="S106" s="25">
        <f t="shared" si="345"/>
        <v>144689.35840000003</v>
      </c>
      <c r="T106" s="25">
        <f t="shared" si="365"/>
        <v>1418522.2143234741</v>
      </c>
      <c r="U106" s="25">
        <f t="shared" si="366"/>
        <v>776443.85114146117</v>
      </c>
      <c r="W106" s="25">
        <f t="shared" si="330"/>
        <v>15430232.984000001</v>
      </c>
      <c r="X106" s="157">
        <f t="shared" si="357"/>
        <v>-0.16428907001901463</v>
      </c>
      <c r="Y106" s="25">
        <f t="shared" si="331"/>
        <v>2674059.3761272002</v>
      </c>
      <c r="AB106"/>
      <c r="AC106"/>
      <c r="AD106"/>
      <c r="AE106"/>
      <c r="AF106"/>
      <c r="AG106"/>
      <c r="AH106"/>
      <c r="AI106"/>
      <c r="AJ106"/>
      <c r="AK106" s="69"/>
      <c r="AL106" s="69"/>
      <c r="AM106" s="6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48">
        <f>AVERAGE(GO9:GO15)</f>
        <v>316048.28571428574</v>
      </c>
      <c r="BB106" s="69"/>
      <c r="DI106" s="6"/>
      <c r="DU106" s="55"/>
      <c r="GF106" s="6"/>
      <c r="GG106" s="6"/>
      <c r="GL106" s="619"/>
      <c r="GM106" s="180"/>
      <c r="GN106" s="180"/>
      <c r="GT106" s="6"/>
      <c r="GU106" s="6"/>
      <c r="GV106" s="6"/>
      <c r="GW106" s="6"/>
      <c r="GX106" s="6"/>
      <c r="GY106" s="6"/>
      <c r="HA106" s="53"/>
      <c r="HB106" s="53"/>
      <c r="HC106" s="53"/>
      <c r="HD106" s="53"/>
      <c r="HE106" s="53"/>
      <c r="HF106" s="182"/>
    </row>
    <row r="107" spans="1:214">
      <c r="A107" s="24">
        <v>33847</v>
      </c>
      <c r="B107" s="75">
        <f t="shared" si="359"/>
        <v>1200277.2848</v>
      </c>
      <c r="C107" s="48">
        <f t="shared" si="360"/>
        <v>90237.440000000002</v>
      </c>
      <c r="D107" s="25">
        <f t="shared" si="313"/>
        <v>-220760.65999999997</v>
      </c>
      <c r="E107" s="25">
        <f t="shared" si="358"/>
        <v>-30019.909750000003</v>
      </c>
      <c r="F107" s="48">
        <f t="shared" si="299"/>
        <v>15808.01676666666</v>
      </c>
      <c r="G107" s="48">
        <f t="shared" si="300"/>
        <v>175374.14631663123</v>
      </c>
      <c r="H107" s="25">
        <f t="shared" si="348"/>
        <v>-360238.91700000002</v>
      </c>
      <c r="I107" s="25">
        <f t="shared" si="367"/>
        <v>-144676.09699999998</v>
      </c>
      <c r="J107" s="25">
        <f t="shared" si="368"/>
        <v>-215562.82000000004</v>
      </c>
      <c r="K107" s="25"/>
      <c r="L107" s="25">
        <f t="shared" si="369"/>
        <v>49419.814999999988</v>
      </c>
      <c r="M107" s="48">
        <f t="shared" si="301"/>
        <v>173646.26435000001</v>
      </c>
      <c r="N107" s="61">
        <f t="shared" si="302"/>
        <v>366556.30939992913</v>
      </c>
      <c r="O107" s="48">
        <f t="shared" si="303"/>
        <v>-334940.2758665958</v>
      </c>
      <c r="P107" s="25">
        <f t="shared" si="363"/>
        <v>347835.3593688212</v>
      </c>
      <c r="Q107" s="25">
        <f t="shared" si="364"/>
        <v>-222153.80880728277</v>
      </c>
      <c r="R107" s="95">
        <f t="shared" si="361"/>
        <v>1200277.2848</v>
      </c>
      <c r="S107" s="25">
        <f t="shared" si="345"/>
        <v>449.08000000007451</v>
      </c>
      <c r="T107" s="25">
        <f t="shared" si="365"/>
        <v>1418522.2143234741</v>
      </c>
      <c r="U107" s="25">
        <f t="shared" si="366"/>
        <v>776443.85114146117</v>
      </c>
      <c r="W107" s="25">
        <f t="shared" si="330"/>
        <v>15371045.149200002</v>
      </c>
      <c r="X107" s="157">
        <f t="shared" si="357"/>
        <v>-0.14467428626027434</v>
      </c>
      <c r="Y107" s="25">
        <f t="shared" si="331"/>
        <v>2663802.1243563606</v>
      </c>
      <c r="AB107"/>
      <c r="AC107"/>
      <c r="AD107"/>
      <c r="AE107"/>
      <c r="AF107"/>
      <c r="AG107"/>
      <c r="AH107"/>
      <c r="AI107"/>
      <c r="AJ107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48"/>
      <c r="BB107" s="69"/>
      <c r="DI107" s="6"/>
      <c r="DU107" s="55"/>
      <c r="GF107" s="6"/>
      <c r="GG107" s="6"/>
      <c r="GL107" s="619"/>
      <c r="GM107" s="180"/>
      <c r="GN107" s="180"/>
      <c r="GT107" s="6"/>
      <c r="GU107" s="6"/>
      <c r="GV107" s="6"/>
      <c r="GW107" s="6"/>
      <c r="GX107" s="6"/>
      <c r="GY107" s="6"/>
      <c r="GZ107" s="185"/>
      <c r="HA107" s="53"/>
      <c r="HB107" s="53"/>
      <c r="HC107" s="53"/>
      <c r="HD107" s="53"/>
      <c r="HE107" s="53"/>
      <c r="HF107" s="182"/>
    </row>
    <row r="108" spans="1:214">
      <c r="A108" s="24">
        <v>33877</v>
      </c>
      <c r="B108" s="75">
        <f t="shared" si="359"/>
        <v>1015960.4704</v>
      </c>
      <c r="C108" s="48">
        <f t="shared" si="360"/>
        <v>-291622.64799999999</v>
      </c>
      <c r="D108" s="25">
        <f t="shared" si="313"/>
        <v>-160567.58299999998</v>
      </c>
      <c r="E108" s="25">
        <f t="shared" si="358"/>
        <v>-52299.500124999999</v>
      </c>
      <c r="F108" s="48">
        <f t="shared" si="299"/>
        <v>6175.7559666666675</v>
      </c>
      <c r="G108" s="48">
        <f t="shared" si="300"/>
        <v>176134.73374137696</v>
      </c>
      <c r="H108" s="25">
        <f t="shared" si="348"/>
        <v>-627594.00150000001</v>
      </c>
      <c r="I108" s="25">
        <f t="shared" si="367"/>
        <v>-299114.66049999994</v>
      </c>
      <c r="J108" s="25">
        <f t="shared" si="368"/>
        <v>-328479.34100000007</v>
      </c>
      <c r="K108" s="25"/>
      <c r="L108" s="25">
        <f t="shared" si="369"/>
        <v>381860.08799999999</v>
      </c>
      <c r="M108" s="48">
        <f t="shared" si="301"/>
        <v>177210.33248333336</v>
      </c>
      <c r="N108" s="61">
        <f t="shared" si="302"/>
        <v>358445.22344942059</v>
      </c>
      <c r="O108" s="48">
        <f t="shared" si="303"/>
        <v>-346093.71151608723</v>
      </c>
      <c r="P108" s="25">
        <f t="shared" si="363"/>
        <v>347835.3593688212</v>
      </c>
      <c r="Q108" s="25">
        <f t="shared" si="364"/>
        <v>-222153.80880728277</v>
      </c>
      <c r="R108" s="95">
        <f t="shared" si="361"/>
        <v>1015960.4704</v>
      </c>
      <c r="S108" s="25">
        <f t="shared" si="345"/>
        <v>184316.81440000003</v>
      </c>
      <c r="T108" s="25">
        <f t="shared" si="365"/>
        <v>1418522.2143234741</v>
      </c>
      <c r="U108" s="25">
        <f t="shared" si="366"/>
        <v>776443.85114146117</v>
      </c>
      <c r="W108" s="25">
        <f t="shared" si="330"/>
        <v>15151773.153200002</v>
      </c>
      <c r="X108" s="157">
        <f t="shared" si="357"/>
        <v>-0.12877507879661934</v>
      </c>
      <c r="Y108" s="25">
        <f t="shared" si="331"/>
        <v>2625802.2874495606</v>
      </c>
      <c r="AB108"/>
      <c r="AC108"/>
      <c r="AD108"/>
      <c r="AE108"/>
      <c r="AF108"/>
      <c r="AG108"/>
      <c r="AH108"/>
      <c r="AI108"/>
      <c r="AJ108"/>
      <c r="AK108" s="69"/>
      <c r="AL108" s="69"/>
      <c r="AM108" s="6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69"/>
      <c r="AY108" s="69"/>
      <c r="AZ108" s="69"/>
      <c r="BA108" s="48"/>
      <c r="BB108" s="69"/>
      <c r="DI108" s="6"/>
      <c r="DU108" s="55"/>
      <c r="GF108" s="6"/>
      <c r="GG108" s="6"/>
      <c r="GL108" s="619"/>
      <c r="GM108" s="180"/>
      <c r="GN108" s="180"/>
      <c r="GT108" s="6"/>
      <c r="GU108" s="6"/>
      <c r="GV108" s="6"/>
      <c r="GW108" s="6"/>
      <c r="GX108" s="6"/>
      <c r="GY108" s="6"/>
      <c r="HA108" s="53"/>
      <c r="HB108" s="53"/>
      <c r="HC108" s="53"/>
      <c r="HD108" s="53"/>
      <c r="HE108" s="53"/>
      <c r="HF108" s="182"/>
    </row>
    <row r="109" spans="1:214">
      <c r="A109" s="24">
        <v>33908</v>
      </c>
      <c r="B109" s="75">
        <f t="shared" si="359"/>
        <v>1365418.9440000001</v>
      </c>
      <c r="C109" s="48">
        <f t="shared" si="360"/>
        <v>169013.23199999999</v>
      </c>
      <c r="D109" s="25">
        <f t="shared" si="313"/>
        <v>-32371.975999999995</v>
      </c>
      <c r="E109" s="25">
        <f t="shared" si="358"/>
        <v>-59023.870083333335</v>
      </c>
      <c r="F109" s="48">
        <f t="shared" si="299"/>
        <v>4313.209833333337</v>
      </c>
      <c r="G109" s="48">
        <f t="shared" si="300"/>
        <v>173756.66397050073</v>
      </c>
      <c r="H109" s="25">
        <f t="shared" si="348"/>
        <v>-708286.44099999999</v>
      </c>
      <c r="I109" s="25">
        <f t="shared" si="367"/>
        <v>-338130.98900000018</v>
      </c>
      <c r="J109" s="25">
        <f t="shared" si="368"/>
        <v>-370155.45199999982</v>
      </c>
      <c r="K109" s="25"/>
      <c r="L109" s="25">
        <f t="shared" si="369"/>
        <v>460635.88</v>
      </c>
      <c r="M109" s="48">
        <f t="shared" si="301"/>
        <v>184795.14715000003</v>
      </c>
      <c r="N109" s="61">
        <f t="shared" si="302"/>
        <v>351826.53777433478</v>
      </c>
      <c r="O109" s="48">
        <f t="shared" si="303"/>
        <v>-343200.11810766812</v>
      </c>
      <c r="P109" s="25">
        <f t="shared" si="363"/>
        <v>347835.3593688212</v>
      </c>
      <c r="Q109" s="25">
        <f t="shared" si="364"/>
        <v>-222153.80880728277</v>
      </c>
      <c r="R109" s="95">
        <f t="shared" si="361"/>
        <v>1365418.9440000001</v>
      </c>
      <c r="S109" s="25">
        <f t="shared" si="345"/>
        <v>349458.47360000014</v>
      </c>
      <c r="T109" s="25">
        <f t="shared" si="365"/>
        <v>1418522.2143234741</v>
      </c>
      <c r="U109" s="25">
        <f t="shared" si="366"/>
        <v>776443.85114146117</v>
      </c>
      <c r="W109" s="25">
        <f t="shared" si="330"/>
        <v>14933638.383600002</v>
      </c>
      <c r="X109" s="157">
        <f t="shared" si="357"/>
        <v>-0.12146121117031478</v>
      </c>
      <c r="Y109" s="25">
        <f t="shared" si="331"/>
        <v>2587999.5318778805</v>
      </c>
      <c r="AB109"/>
      <c r="AC109"/>
      <c r="AD109"/>
      <c r="AE109"/>
      <c r="AF109"/>
      <c r="AG109"/>
      <c r="AH109"/>
      <c r="AI109"/>
      <c r="AJ10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48"/>
      <c r="BB109" s="69"/>
      <c r="DI109" s="6"/>
      <c r="DU109" s="55"/>
      <c r="GF109" s="6"/>
      <c r="GG109" s="6"/>
      <c r="GL109" s="563"/>
      <c r="GM109" s="180"/>
      <c r="GN109" s="180"/>
      <c r="GT109" s="6"/>
      <c r="GU109" s="6"/>
      <c r="GV109" s="6"/>
      <c r="GW109" s="6"/>
      <c r="GX109" s="6"/>
      <c r="GY109" s="6"/>
      <c r="HA109" s="53"/>
      <c r="HB109" s="53"/>
      <c r="HC109" s="53"/>
      <c r="HD109" s="53"/>
      <c r="HE109" s="53"/>
      <c r="HF109" s="182"/>
    </row>
    <row r="110" spans="1:214">
      <c r="A110" s="24">
        <v>33938</v>
      </c>
      <c r="B110" s="75">
        <f t="shared" si="359"/>
        <v>1174880.2431999999</v>
      </c>
      <c r="C110" s="48">
        <f t="shared" si="360"/>
        <v>169580.72</v>
      </c>
      <c r="D110" s="25">
        <f t="shared" si="313"/>
        <v>46971.304000000004</v>
      </c>
      <c r="E110" s="25">
        <f t="shared" ref="E110:E126" si="370">AVERAGE(C99:C110)</f>
        <v>-26655.293583333336</v>
      </c>
      <c r="F110" s="48">
        <f t="shared" si="299"/>
        <v>3921.5718333333334</v>
      </c>
      <c r="G110" s="48">
        <f t="shared" si="300"/>
        <v>173349.9909185076</v>
      </c>
      <c r="H110" s="25">
        <f t="shared" si="348"/>
        <v>-319863.52300000004</v>
      </c>
      <c r="I110" s="25">
        <f t="shared" si="367"/>
        <v>-549099.18700000015</v>
      </c>
      <c r="J110" s="25">
        <f t="shared" si="368"/>
        <v>229235.66400000011</v>
      </c>
      <c r="K110" s="25"/>
      <c r="L110" s="25">
        <f t="shared" si="369"/>
        <v>567.48800000001211</v>
      </c>
      <c r="M110" s="48">
        <f t="shared" si="301"/>
        <v>183343.15528333336</v>
      </c>
      <c r="N110" s="61">
        <f t="shared" si="302"/>
        <v>350621.55367034854</v>
      </c>
      <c r="O110" s="48">
        <f t="shared" si="303"/>
        <v>-342778.41000368184</v>
      </c>
      <c r="P110" s="25">
        <f t="shared" si="363"/>
        <v>347835.3593688212</v>
      </c>
      <c r="Q110" s="25">
        <f t="shared" si="364"/>
        <v>-222153.80880728277</v>
      </c>
      <c r="R110" s="95">
        <f t="shared" si="361"/>
        <v>1174880.2431999999</v>
      </c>
      <c r="S110" s="25">
        <f t="shared" si="345"/>
        <v>190538.70080000022</v>
      </c>
      <c r="T110" s="25">
        <f t="shared" si="365"/>
        <v>1418522.2143234741</v>
      </c>
      <c r="U110" s="25">
        <f t="shared" si="366"/>
        <v>776443.85114146117</v>
      </c>
      <c r="W110" s="25">
        <f t="shared" si="330"/>
        <v>14948864.291200001</v>
      </c>
      <c r="X110" s="157">
        <f t="shared" si="357"/>
        <v>-9.4055335084297004E-2</v>
      </c>
      <c r="Y110" s="25">
        <f t="shared" si="331"/>
        <v>2590638.1816649605</v>
      </c>
      <c r="AB110"/>
      <c r="AC110"/>
      <c r="AD110"/>
      <c r="AE110"/>
      <c r="AF110"/>
      <c r="AG110"/>
      <c r="AH110"/>
      <c r="AI110"/>
      <c r="AJ110"/>
      <c r="AK110" s="69"/>
      <c r="AL110" s="69"/>
      <c r="AM110" s="69"/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69"/>
      <c r="AY110" s="69"/>
      <c r="AZ110" s="69"/>
      <c r="BA110" s="48"/>
      <c r="BB110" s="69"/>
      <c r="DI110" s="6"/>
      <c r="DU110" s="55"/>
      <c r="GF110" s="6"/>
      <c r="GG110" s="6"/>
      <c r="GL110" s="619"/>
      <c r="GM110" s="180"/>
      <c r="GN110" s="180"/>
      <c r="GT110" s="6"/>
      <c r="GU110" s="6"/>
      <c r="GV110" s="6"/>
      <c r="GW110" s="6"/>
      <c r="GX110" s="6"/>
      <c r="GY110" s="6"/>
      <c r="HA110" s="53"/>
      <c r="HB110" s="53"/>
      <c r="HC110" s="53"/>
      <c r="HD110" s="53"/>
      <c r="HE110" s="53"/>
      <c r="HF110" s="182"/>
    </row>
    <row r="111" spans="1:214">
      <c r="A111" s="24">
        <v>33969</v>
      </c>
      <c r="B111" s="48">
        <f t="shared" ref="B111:B122" si="371">BR3</f>
        <v>1052245.7279999999</v>
      </c>
      <c r="C111" s="95">
        <f t="shared" ref="C111:C122" si="372">AK3</f>
        <v>76783.667000000001</v>
      </c>
      <c r="D111" s="25">
        <f t="shared" si="313"/>
        <v>415377.61899999995</v>
      </c>
      <c r="E111" s="25">
        <f t="shared" si="370"/>
        <v>-6612.5711666666693</v>
      </c>
      <c r="F111" s="48">
        <f t="shared" si="299"/>
        <v>4428.34961666667</v>
      </c>
      <c r="G111" s="48">
        <f t="shared" si="300"/>
        <v>173520.57240624743</v>
      </c>
      <c r="H111" s="25">
        <f t="shared" si="348"/>
        <v>-79350.854000000036</v>
      </c>
      <c r="I111" s="25">
        <f t="shared" si="367"/>
        <v>-427987.57500000007</v>
      </c>
      <c r="J111" s="25">
        <f t="shared" si="368"/>
        <v>348636.72100000002</v>
      </c>
      <c r="K111" s="25"/>
      <c r="L111" s="25">
        <f t="shared" si="369"/>
        <v>92797.053</v>
      </c>
      <c r="M111" s="48">
        <f t="shared" si="301"/>
        <v>182444.73950000003</v>
      </c>
      <c r="N111" s="61">
        <f t="shared" si="302"/>
        <v>351469.49442916154</v>
      </c>
      <c r="O111" s="48">
        <f t="shared" si="303"/>
        <v>-342612.79519582819</v>
      </c>
      <c r="P111" s="25">
        <f t="shared" si="363"/>
        <v>347835.3593688212</v>
      </c>
      <c r="Q111" s="25">
        <f t="shared" si="364"/>
        <v>-222153.80880728277</v>
      </c>
      <c r="R111" s="95">
        <f t="shared" ref="R111:R122" si="373">BR3</f>
        <v>1052245.7279999999</v>
      </c>
      <c r="S111" s="25">
        <f t="shared" si="345"/>
        <v>122634.51520000002</v>
      </c>
      <c r="T111" s="25">
        <f t="shared" si="365"/>
        <v>1418522.2143234741</v>
      </c>
      <c r="U111" s="25">
        <f t="shared" si="366"/>
        <v>776443.85114146117</v>
      </c>
      <c r="W111" s="25">
        <f t="shared" si="330"/>
        <v>14970930.9712</v>
      </c>
      <c r="X111" s="157">
        <f t="shared" si="357"/>
        <v>-9.2998515829241762E-2</v>
      </c>
      <c r="Y111" s="25">
        <f t="shared" si="331"/>
        <v>2594462.33730896</v>
      </c>
      <c r="AB111"/>
      <c r="AC111"/>
      <c r="AD111"/>
      <c r="AE111"/>
      <c r="AF111"/>
      <c r="AG111"/>
      <c r="AH111"/>
      <c r="AI111"/>
      <c r="AJ111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48"/>
      <c r="BB111" s="69"/>
      <c r="DI111" s="6"/>
      <c r="DU111" s="55"/>
      <c r="GF111" s="6"/>
      <c r="GG111" s="6"/>
      <c r="GL111" s="619"/>
      <c r="GM111" s="180"/>
      <c r="GN111" s="180"/>
      <c r="GT111" s="6"/>
      <c r="GU111" s="6"/>
      <c r="GV111" s="6"/>
      <c r="GW111" s="6"/>
      <c r="GX111" s="6"/>
      <c r="GY111" s="6"/>
      <c r="GZ111" s="185"/>
      <c r="HA111" s="53"/>
      <c r="HB111" s="53"/>
      <c r="HC111" s="53"/>
      <c r="HD111" s="53"/>
      <c r="HE111" s="53"/>
      <c r="HF111" s="182"/>
    </row>
    <row r="112" spans="1:214">
      <c r="A112" s="24">
        <v>34000</v>
      </c>
      <c r="B112" s="48">
        <f t="shared" si="371"/>
        <v>1064139.29</v>
      </c>
      <c r="C112" s="95">
        <f t="shared" si="372"/>
        <v>7525.8210000000017</v>
      </c>
      <c r="D112" s="25">
        <f t="shared" si="313"/>
        <v>253890.20799999998</v>
      </c>
      <c r="E112" s="25">
        <f t="shared" si="370"/>
        <v>-17340.96875</v>
      </c>
      <c r="F112" s="48">
        <f t="shared" si="299"/>
        <v>5882.9799666666668</v>
      </c>
      <c r="G112" s="48">
        <f t="shared" si="300"/>
        <v>173168.39359829327</v>
      </c>
      <c r="H112" s="25">
        <f t="shared" si="348"/>
        <v>-208091.625</v>
      </c>
      <c r="I112" s="25">
        <f t="shared" si="367"/>
        <v>-229674.15299999999</v>
      </c>
      <c r="J112" s="25">
        <f t="shared" si="368"/>
        <v>21582.527999999991</v>
      </c>
      <c r="K112" s="25">
        <f>AVERAGE(C110+C111+C112)</f>
        <v>253890.20799999998</v>
      </c>
      <c r="L112" s="25">
        <f t="shared" si="369"/>
        <v>69257.846000000005</v>
      </c>
      <c r="M112" s="48">
        <f t="shared" si="301"/>
        <v>181496.88693333336</v>
      </c>
      <c r="N112" s="61">
        <f t="shared" si="302"/>
        <v>352219.76716325321</v>
      </c>
      <c r="O112" s="48">
        <f t="shared" si="303"/>
        <v>-340453.80722991988</v>
      </c>
      <c r="P112" s="25">
        <f t="shared" si="363"/>
        <v>347835.3593688212</v>
      </c>
      <c r="Q112" s="25">
        <f t="shared" si="364"/>
        <v>-222153.80880728277</v>
      </c>
      <c r="R112" s="95">
        <f t="shared" si="373"/>
        <v>1064139.29</v>
      </c>
      <c r="S112" s="25">
        <f t="shared" ref="S112:S127" si="374">IF(R112&gt;0,ABS(R111-R112)," ")</f>
        <v>11893.562000000151</v>
      </c>
      <c r="T112" s="25">
        <f t="shared" si="365"/>
        <v>1418522.2143234741</v>
      </c>
      <c r="U112" s="25">
        <f t="shared" si="366"/>
        <v>776443.85114146117</v>
      </c>
      <c r="W112" s="25">
        <f t="shared" si="330"/>
        <v>14652385.422800001</v>
      </c>
      <c r="X112" s="157">
        <f t="shared" si="357"/>
        <v>-0.11067802884590941</v>
      </c>
      <c r="Y112" s="25">
        <f t="shared" si="331"/>
        <v>2539258.3937712405</v>
      </c>
      <c r="AB112"/>
      <c r="AC112"/>
      <c r="AD112"/>
      <c r="AE112"/>
      <c r="AF112"/>
      <c r="AG112"/>
      <c r="AH112"/>
      <c r="AI112"/>
      <c r="AJ112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48"/>
      <c r="BB112" s="74"/>
      <c r="DI112" s="6"/>
      <c r="DU112" s="55"/>
      <c r="DY112"/>
      <c r="DZ112"/>
      <c r="EA112"/>
      <c r="EB112"/>
      <c r="EC112"/>
      <c r="ED112"/>
      <c r="EE112"/>
      <c r="GF112" s="6"/>
      <c r="GG112" s="6"/>
      <c r="GL112" s="619"/>
      <c r="GM112" s="180"/>
      <c r="GN112" s="180"/>
      <c r="GT112" s="6"/>
      <c r="GU112" s="6"/>
      <c r="GV112" s="6"/>
      <c r="GW112" s="6"/>
      <c r="GX112" s="6"/>
      <c r="GY112" s="6"/>
      <c r="HA112" s="53"/>
      <c r="HB112" s="53"/>
      <c r="HC112" s="53"/>
      <c r="HD112" s="53"/>
      <c r="HE112" s="53"/>
      <c r="HF112" s="182"/>
    </row>
    <row r="113" spans="1:217" customFormat="1">
      <c r="A113" s="24">
        <v>34028</v>
      </c>
      <c r="B113" s="48">
        <f t="shared" si="371"/>
        <v>1032280.47</v>
      </c>
      <c r="C113" s="95">
        <f t="shared" si="372"/>
        <v>-36.340000000000146</v>
      </c>
      <c r="D113" s="25">
        <f t="shared" si="313"/>
        <v>84273.148000000001</v>
      </c>
      <c r="E113" s="25">
        <f t="shared" si="370"/>
        <v>2550.9189166666683</v>
      </c>
      <c r="F113" s="48">
        <f t="shared" si="299"/>
        <v>4772.3076333333356</v>
      </c>
      <c r="G113" s="48">
        <f t="shared" si="300"/>
        <v>172985.95222853904</v>
      </c>
      <c r="H113" s="25">
        <f t="shared" si="348"/>
        <v>30611.02700000002</v>
      </c>
      <c r="I113" s="25">
        <f t="shared" si="367"/>
        <v>-440329.68000000005</v>
      </c>
      <c r="J113" s="25">
        <f t="shared" si="368"/>
        <v>470940.70700000005</v>
      </c>
      <c r="K113" s="25"/>
      <c r="L113" s="25">
        <f t="shared" si="369"/>
        <v>7562.1610000000019</v>
      </c>
      <c r="M113" s="48">
        <f t="shared" si="301"/>
        <v>179183.65628333337</v>
      </c>
      <c r="N113" s="61">
        <f t="shared" si="302"/>
        <v>350744.2120904114</v>
      </c>
      <c r="O113" s="48">
        <f t="shared" si="303"/>
        <v>-341199.59682374477</v>
      </c>
      <c r="P113" s="25">
        <f t="shared" si="363"/>
        <v>347835.3593688212</v>
      </c>
      <c r="Q113" s="25">
        <f t="shared" si="364"/>
        <v>-222153.80880728277</v>
      </c>
      <c r="R113" s="95">
        <f t="shared" si="373"/>
        <v>1032280.47</v>
      </c>
      <c r="S113" s="25">
        <f t="shared" si="374"/>
        <v>31858.820000000065</v>
      </c>
      <c r="T113" s="25">
        <f t="shared" si="365"/>
        <v>1418522.2143234741</v>
      </c>
      <c r="U113" s="25">
        <f t="shared" si="366"/>
        <v>776443.85114146117</v>
      </c>
      <c r="W113" s="25">
        <f t="shared" si="330"/>
        <v>14646574.824000003</v>
      </c>
      <c r="X113" s="157">
        <f t="shared" si="357"/>
        <v>-7.811760012392413E-2</v>
      </c>
      <c r="Y113" s="25">
        <f t="shared" si="331"/>
        <v>2538251.4169992008</v>
      </c>
      <c r="AA113" s="6"/>
      <c r="AK113" s="68"/>
      <c r="AL113" s="68"/>
      <c r="AM113" s="68"/>
      <c r="AN113" s="68"/>
      <c r="AO113" s="68"/>
      <c r="AP113" s="68"/>
      <c r="AQ113" s="68"/>
      <c r="AR113" s="68"/>
      <c r="AS113" s="68"/>
      <c r="AT113" s="68"/>
      <c r="AU113" s="68"/>
      <c r="AV113" s="68"/>
      <c r="AW113" s="68"/>
      <c r="AX113" s="68"/>
      <c r="AY113" s="68"/>
      <c r="AZ113" s="68"/>
      <c r="BA113" s="48"/>
      <c r="BB113" s="68"/>
      <c r="BG113" s="6"/>
      <c r="BH113" s="6"/>
      <c r="BI113" s="6"/>
      <c r="BJ113" s="6"/>
      <c r="BK113" s="6"/>
      <c r="BL113" s="6"/>
      <c r="BM113" s="6"/>
      <c r="BN113" s="55"/>
      <c r="BO113" s="55"/>
      <c r="BP113" s="55"/>
      <c r="BQ113" s="55"/>
      <c r="BR113" s="55"/>
      <c r="BS113" s="55"/>
      <c r="BT113" s="55"/>
      <c r="BU113" s="55"/>
      <c r="BV113" s="55"/>
      <c r="BW113" s="55"/>
      <c r="BX113" s="55"/>
      <c r="BY113" s="55"/>
      <c r="BZ113" s="55"/>
      <c r="CA113" s="55"/>
      <c r="CB113" s="55"/>
      <c r="CC113" s="55"/>
      <c r="DY113" s="6"/>
      <c r="DZ113" s="6"/>
      <c r="EA113" s="6"/>
      <c r="EB113" s="6"/>
      <c r="EC113" s="6"/>
      <c r="ED113" s="6"/>
      <c r="EE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563"/>
      <c r="GM113" s="180"/>
      <c r="GN113" s="180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185"/>
      <c r="HA113" s="53"/>
      <c r="HB113" s="53"/>
      <c r="HC113" s="53"/>
      <c r="HD113" s="53"/>
      <c r="HE113" s="53"/>
      <c r="HF113" s="182"/>
      <c r="HG113" s="6"/>
      <c r="HH113" s="6"/>
      <c r="HI113" s="6"/>
    </row>
    <row r="114" spans="1:217">
      <c r="A114" s="24">
        <v>34059</v>
      </c>
      <c r="B114" s="48">
        <f t="shared" si="371"/>
        <v>857541.84299999999</v>
      </c>
      <c r="C114" s="95">
        <f t="shared" si="372"/>
        <v>-218381.533</v>
      </c>
      <c r="D114" s="25">
        <f t="shared" si="313"/>
        <v>-210892.052</v>
      </c>
      <c r="E114" s="25">
        <f t="shared" si="370"/>
        <v>-14477.12883333333</v>
      </c>
      <c r="F114" s="48">
        <f t="shared" si="299"/>
        <v>686.6987500000032</v>
      </c>
      <c r="G114" s="48">
        <f t="shared" si="300"/>
        <v>175336.82385941359</v>
      </c>
      <c r="H114" s="25">
        <f t="shared" si="348"/>
        <v>-173725.54599999997</v>
      </c>
      <c r="I114" s="25">
        <f t="shared" si="367"/>
        <v>-223751.87650000004</v>
      </c>
      <c r="J114" s="25">
        <f t="shared" si="368"/>
        <v>50026.330500000069</v>
      </c>
      <c r="K114" s="25"/>
      <c r="L114" s="25">
        <f t="shared" si="369"/>
        <v>218345.193</v>
      </c>
      <c r="M114" s="48">
        <f t="shared" si="301"/>
        <v>182158.59283333339</v>
      </c>
      <c r="N114" s="61">
        <f t="shared" si="302"/>
        <v>351360.34646882716</v>
      </c>
      <c r="O114" s="48">
        <f t="shared" si="303"/>
        <v>-349986.9489688272</v>
      </c>
      <c r="P114" s="25">
        <f t="shared" si="363"/>
        <v>347835.3593688212</v>
      </c>
      <c r="Q114" s="25">
        <f t="shared" si="364"/>
        <v>-222153.80880728277</v>
      </c>
      <c r="R114" s="95">
        <f t="shared" si="373"/>
        <v>857541.84299999999</v>
      </c>
      <c r="S114" s="25">
        <f t="shared" si="374"/>
        <v>174738.62699999998</v>
      </c>
      <c r="T114" s="25">
        <f t="shared" si="365"/>
        <v>1418522.2143234741</v>
      </c>
      <c r="U114" s="25">
        <f t="shared" si="366"/>
        <v>776443.85114146117</v>
      </c>
      <c r="W114" s="25">
        <f t="shared" si="330"/>
        <v>14305960.643000003</v>
      </c>
      <c r="X114" s="157">
        <f t="shared" si="357"/>
        <v>-9.476995892685805E-2</v>
      </c>
      <c r="Y114" s="25">
        <f t="shared" si="331"/>
        <v>2479222.9794319007</v>
      </c>
      <c r="AB114"/>
      <c r="AC114"/>
      <c r="AD114"/>
      <c r="AE114"/>
      <c r="AF114"/>
      <c r="AG114"/>
      <c r="AH114"/>
      <c r="AI114"/>
      <c r="AJ114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48"/>
      <c r="BB114" s="68"/>
      <c r="BT114"/>
      <c r="BU114"/>
      <c r="BV114"/>
      <c r="BW114"/>
      <c r="BX114"/>
      <c r="BY114"/>
      <c r="BZ114"/>
      <c r="CA114"/>
      <c r="CB114"/>
      <c r="CC114"/>
      <c r="DI114" s="6"/>
      <c r="DU114" s="55"/>
      <c r="GF114" s="6"/>
      <c r="GG114" s="6"/>
      <c r="GM114" s="180"/>
      <c r="GN114" s="180"/>
      <c r="GT114" s="6"/>
      <c r="GU114" s="6"/>
      <c r="GV114" s="6"/>
      <c r="GW114" s="6"/>
      <c r="GX114" s="6"/>
      <c r="GY114" s="6"/>
      <c r="HA114" s="53"/>
      <c r="HB114" s="53"/>
      <c r="HC114" s="53"/>
      <c r="HD114" s="53"/>
      <c r="HE114" s="53"/>
      <c r="HF114" s="182"/>
    </row>
    <row r="115" spans="1:217">
      <c r="A115" s="24">
        <v>34089</v>
      </c>
      <c r="B115" s="48">
        <f t="shared" si="371"/>
        <v>1081083.9369999999</v>
      </c>
      <c r="C115" s="95">
        <f t="shared" si="372"/>
        <v>49673.110999999997</v>
      </c>
      <c r="D115" s="25">
        <f t="shared" si="313"/>
        <v>-168744.76199999999</v>
      </c>
      <c r="E115" s="25">
        <f t="shared" si="370"/>
        <v>-24312.796250000003</v>
      </c>
      <c r="F115" s="48">
        <f t="shared" si="299"/>
        <v>-1131.0327333333335</v>
      </c>
      <c r="G115" s="48">
        <f t="shared" si="300"/>
        <v>174232.39050968754</v>
      </c>
      <c r="H115" s="25">
        <f t="shared" ref="H115:H130" si="375">SUM(C104:C115)</f>
        <v>-291753.55500000005</v>
      </c>
      <c r="I115" s="25">
        <f t="shared" si="367"/>
        <v>73943.169500000004</v>
      </c>
      <c r="J115" s="25">
        <f t="shared" si="368"/>
        <v>-365696.72450000007</v>
      </c>
      <c r="K115" s="25"/>
      <c r="L115" s="25">
        <f t="shared" si="369"/>
        <v>268054.64399999997</v>
      </c>
      <c r="M115" s="48">
        <f t="shared" si="301"/>
        <v>184426.47023333338</v>
      </c>
      <c r="N115" s="61">
        <f t="shared" si="302"/>
        <v>347333.74828604172</v>
      </c>
      <c r="O115" s="48">
        <f t="shared" si="303"/>
        <v>-349595.81375270843</v>
      </c>
      <c r="P115" s="25">
        <f t="shared" si="363"/>
        <v>347835.3593688212</v>
      </c>
      <c r="Q115" s="25">
        <f t="shared" si="364"/>
        <v>-222153.80880728277</v>
      </c>
      <c r="R115" s="95">
        <f t="shared" si="373"/>
        <v>1081083.9369999999</v>
      </c>
      <c r="S115" s="25">
        <f t="shared" si="374"/>
        <v>223542.09399999992</v>
      </c>
      <c r="T115" s="25">
        <f t="shared" si="365"/>
        <v>1418522.2143234741</v>
      </c>
      <c r="U115" s="25">
        <f t="shared" si="366"/>
        <v>776443.85114146117</v>
      </c>
      <c r="W115" s="25">
        <f t="shared" si="330"/>
        <v>13882053.759199999</v>
      </c>
      <c r="X115" s="157">
        <f t="shared" si="357"/>
        <v>-0.12915453073564392</v>
      </c>
      <c r="Y115" s="25">
        <f t="shared" si="331"/>
        <v>2405759.9164693602</v>
      </c>
      <c r="AB115"/>
      <c r="AC115"/>
      <c r="AD115"/>
      <c r="AE115"/>
      <c r="AF115"/>
      <c r="AG115"/>
      <c r="AH115"/>
      <c r="AI115"/>
      <c r="AJ115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48"/>
      <c r="BB115" s="68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DI115" s="6"/>
      <c r="DU115" s="55"/>
      <c r="GF115" s="6"/>
      <c r="GG115" s="6"/>
      <c r="GM115" s="180"/>
      <c r="GN115" s="215" t="e">
        <f>AVERAGE(GH16:GH93)</f>
        <v>#DIV/0!</v>
      </c>
      <c r="GO115" s="215">
        <f>AVERAGE(GI7:GI93)</f>
        <v>3.7293524933803716E-2</v>
      </c>
      <c r="GP115" s="121" t="e">
        <f>GN115+1.88*GO115</f>
        <v>#DIV/0!</v>
      </c>
      <c r="GQ115" s="121" t="e">
        <f>GN115-1.88*GO115</f>
        <v>#DIV/0!</v>
      </c>
      <c r="GT115" s="6"/>
      <c r="GU115" s="6"/>
      <c r="GV115" s="6"/>
      <c r="GW115" s="6"/>
      <c r="GX115" s="6"/>
      <c r="GY115" s="6"/>
      <c r="HA115" s="53"/>
      <c r="HB115" s="53"/>
      <c r="HC115" s="53"/>
      <c r="HD115" s="53"/>
      <c r="HE115" s="53"/>
      <c r="HF115" s="182"/>
    </row>
    <row r="116" spans="1:217">
      <c r="A116" s="24">
        <v>34120</v>
      </c>
      <c r="B116" s="48">
        <f t="shared" si="371"/>
        <v>949465.29600000009</v>
      </c>
      <c r="C116" s="95">
        <f t="shared" si="372"/>
        <v>-160732.71299999999</v>
      </c>
      <c r="D116" s="25">
        <f t="shared" si="313"/>
        <v>-329441.13500000001</v>
      </c>
      <c r="E116" s="25">
        <f t="shared" si="370"/>
        <v>-34913.111916666669</v>
      </c>
      <c r="F116" s="48">
        <f t="shared" si="299"/>
        <v>-5705.3112833333334</v>
      </c>
      <c r="G116" s="48">
        <f t="shared" si="300"/>
        <v>174767.846236235</v>
      </c>
      <c r="H116" s="25">
        <f t="shared" si="375"/>
        <v>-418957.34299999999</v>
      </c>
      <c r="I116" s="25">
        <f t="shared" si="367"/>
        <v>117085.52449999993</v>
      </c>
      <c r="J116" s="25">
        <f t="shared" si="368"/>
        <v>-536042.86749999993</v>
      </c>
      <c r="K116" s="25"/>
      <c r="L116" s="25">
        <f t="shared" si="369"/>
        <v>210405.82399999999</v>
      </c>
      <c r="M116" s="48">
        <f t="shared" si="301"/>
        <v>187183.01730000001</v>
      </c>
      <c r="N116" s="61">
        <f t="shared" si="302"/>
        <v>343830.38118913665</v>
      </c>
      <c r="O116" s="48">
        <f t="shared" si="303"/>
        <v>-355241.00375580334</v>
      </c>
      <c r="P116" s="25">
        <f t="shared" si="363"/>
        <v>347835.3593688212</v>
      </c>
      <c r="Q116" s="25">
        <f t="shared" si="364"/>
        <v>-222153.80880728277</v>
      </c>
      <c r="R116" s="95">
        <f t="shared" si="373"/>
        <v>949465.29600000009</v>
      </c>
      <c r="S116" s="25">
        <f t="shared" si="374"/>
        <v>131618.64099999983</v>
      </c>
      <c r="T116" s="25">
        <f t="shared" si="365"/>
        <v>1418522.2143234741</v>
      </c>
      <c r="U116" s="25">
        <f t="shared" si="366"/>
        <v>776443.85114146117</v>
      </c>
      <c r="W116" s="25">
        <f t="shared" si="330"/>
        <v>13337639.2744</v>
      </c>
      <c r="X116" s="157">
        <f t="shared" si="357"/>
        <v>-0.16051345153490804</v>
      </c>
      <c r="Y116" s="25">
        <f t="shared" si="331"/>
        <v>2311412.8862535199</v>
      </c>
      <c r="AB116"/>
      <c r="AC116"/>
      <c r="AD116"/>
      <c r="AE116"/>
      <c r="AF116"/>
      <c r="AG116"/>
      <c r="AH116"/>
      <c r="AI116"/>
      <c r="AJ116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48"/>
      <c r="BB116" s="68"/>
      <c r="DI116" s="6"/>
      <c r="DU116" s="55"/>
      <c r="GF116" s="6"/>
      <c r="GG116" s="6"/>
      <c r="GM116" s="180"/>
      <c r="GT116" s="6"/>
      <c r="GU116" s="6"/>
      <c r="GV116" s="6"/>
      <c r="GW116" s="6"/>
      <c r="GX116" s="6"/>
      <c r="GY116" s="6"/>
      <c r="HA116" s="53"/>
      <c r="HB116" s="53"/>
      <c r="HC116" s="53"/>
      <c r="HD116" s="53"/>
      <c r="HE116" s="53"/>
      <c r="HF116" s="182"/>
    </row>
    <row r="117" spans="1:217">
      <c r="A117" s="24">
        <v>34150</v>
      </c>
      <c r="B117" s="48">
        <f t="shared" si="371"/>
        <v>1156060.8970000001</v>
      </c>
      <c r="C117" s="95">
        <f t="shared" si="372"/>
        <v>-94919.120999999999</v>
      </c>
      <c r="D117" s="25">
        <f t="shared" si="313"/>
        <v>-205978.72299999997</v>
      </c>
      <c r="E117" s="25">
        <f t="shared" si="370"/>
        <v>-13505.061583333334</v>
      </c>
      <c r="F117" s="48">
        <f t="shared" si="299"/>
        <v>-12379.163300000004</v>
      </c>
      <c r="G117" s="48">
        <f t="shared" si="300"/>
        <v>170269.71005459109</v>
      </c>
      <c r="H117" s="25">
        <f t="shared" si="375"/>
        <v>-162060.739</v>
      </c>
      <c r="I117" s="25">
        <f t="shared" si="367"/>
        <v>-160338.42799999996</v>
      </c>
      <c r="J117" s="25">
        <f t="shared" si="368"/>
        <v>-1722.3110000000452</v>
      </c>
      <c r="K117" s="25"/>
      <c r="L117" s="25">
        <f t="shared" si="369"/>
        <v>65813.59199999999</v>
      </c>
      <c r="M117" s="48">
        <f t="shared" si="301"/>
        <v>185083.44383333338</v>
      </c>
      <c r="N117" s="61">
        <f t="shared" si="302"/>
        <v>328160.25680918217</v>
      </c>
      <c r="O117" s="48">
        <f t="shared" si="303"/>
        <v>-352918.5834091822</v>
      </c>
      <c r="P117" s="25">
        <f t="shared" si="363"/>
        <v>347835.3593688212</v>
      </c>
      <c r="Q117" s="25">
        <f t="shared" si="364"/>
        <v>-222153.80880728277</v>
      </c>
      <c r="R117" s="95">
        <f t="shared" si="373"/>
        <v>1156060.8970000001</v>
      </c>
      <c r="S117" s="25">
        <f t="shared" si="374"/>
        <v>206595.60100000002</v>
      </c>
      <c r="T117" s="25">
        <f t="shared" si="365"/>
        <v>1418522.2143234741</v>
      </c>
      <c r="U117" s="25">
        <f t="shared" si="366"/>
        <v>776443.85114146117</v>
      </c>
      <c r="W117" s="25">
        <f t="shared" si="330"/>
        <v>13149182.608199999</v>
      </c>
      <c r="X117" s="157">
        <f t="shared" si="357"/>
        <v>-0.17119017242279611</v>
      </c>
      <c r="Y117" s="25">
        <f t="shared" si="331"/>
        <v>2278753.3460010597</v>
      </c>
      <c r="AB117"/>
      <c r="AC117"/>
      <c r="AD117"/>
      <c r="AE117"/>
      <c r="AF117"/>
      <c r="AG117"/>
      <c r="AH117"/>
      <c r="AI117"/>
      <c r="AJ117"/>
      <c r="BA117" s="48"/>
      <c r="DI117" s="6"/>
      <c r="DU117" s="55"/>
      <c r="FO117"/>
      <c r="FP117"/>
      <c r="FQ117"/>
      <c r="FR117"/>
      <c r="FS117"/>
      <c r="GF117" s="6"/>
      <c r="GG117" s="6"/>
      <c r="GM117" s="180"/>
      <c r="GT117" s="6"/>
      <c r="GU117" s="6"/>
      <c r="GV117" s="6"/>
      <c r="GW117" s="6"/>
      <c r="GX117" s="6"/>
      <c r="GY117" s="6"/>
      <c r="GZ117" s="185"/>
      <c r="HA117" s="53"/>
      <c r="HB117" s="53"/>
      <c r="HC117" s="53"/>
      <c r="HD117" s="53"/>
      <c r="HE117" s="53"/>
      <c r="HF117" s="182"/>
    </row>
    <row r="118" spans="1:217">
      <c r="A118" s="24">
        <v>34181</v>
      </c>
      <c r="B118" s="48">
        <f t="shared" si="371"/>
        <v>1053861.727</v>
      </c>
      <c r="C118" s="95">
        <f t="shared" si="372"/>
        <v>29799.624</v>
      </c>
      <c r="D118" s="25">
        <f t="shared" si="313"/>
        <v>-225852.21</v>
      </c>
      <c r="E118" s="25">
        <f t="shared" si="370"/>
        <v>-14423.228333333327</v>
      </c>
      <c r="F118" s="48">
        <f t="shared" si="299"/>
        <v>-13193.052900000002</v>
      </c>
      <c r="G118" s="48">
        <f t="shared" si="300"/>
        <v>169943.69789578268</v>
      </c>
      <c r="H118" s="25">
        <f t="shared" si="375"/>
        <v>-173078.73999999993</v>
      </c>
      <c r="I118" s="25">
        <f t="shared" si="367"/>
        <v>-411071.31100000005</v>
      </c>
      <c r="J118" s="25">
        <f t="shared" si="368"/>
        <v>237992.57100000011</v>
      </c>
      <c r="K118" s="25"/>
      <c r="L118" s="25">
        <f t="shared" si="369"/>
        <v>124718.745</v>
      </c>
      <c r="M118" s="48">
        <f t="shared" si="301"/>
        <v>183380.77291666667</v>
      </c>
      <c r="N118" s="61">
        <f t="shared" si="302"/>
        <v>326694.34289156535</v>
      </c>
      <c r="O118" s="48">
        <f t="shared" si="303"/>
        <v>-353080.44869156537</v>
      </c>
      <c r="P118" s="25">
        <f t="shared" si="363"/>
        <v>347835.3593688212</v>
      </c>
      <c r="Q118" s="25">
        <f t="shared" si="364"/>
        <v>-222153.80880728277</v>
      </c>
      <c r="R118" s="95">
        <f t="shared" si="373"/>
        <v>1053861.727</v>
      </c>
      <c r="S118" s="25">
        <f t="shared" si="374"/>
        <v>102199.17000000016</v>
      </c>
      <c r="T118" s="25">
        <f t="shared" si="365"/>
        <v>1418522.2143234741</v>
      </c>
      <c r="U118" s="25">
        <f t="shared" si="366"/>
        <v>776443.85114146117</v>
      </c>
      <c r="W118" s="25">
        <f t="shared" si="330"/>
        <v>13003216.1304</v>
      </c>
      <c r="X118" s="157">
        <f t="shared" si="357"/>
        <v>-0.15728970885382199</v>
      </c>
      <c r="Y118" s="25">
        <f t="shared" si="331"/>
        <v>2253457.3553983201</v>
      </c>
      <c r="AB118"/>
      <c r="AC118"/>
      <c r="AD118"/>
      <c r="AE118"/>
      <c r="AF118"/>
      <c r="AG118"/>
      <c r="AH118"/>
      <c r="AI118"/>
      <c r="AJ118"/>
      <c r="BA118" s="48"/>
      <c r="DI118" s="6"/>
      <c r="DU118" s="55"/>
      <c r="GF118" s="6"/>
      <c r="GG118" s="6"/>
      <c r="GM118" s="180"/>
      <c r="GN118" s="5">
        <f>AVERAGE(GN45:GN54)</f>
        <v>384267.3</v>
      </c>
      <c r="GO118" s="5">
        <f>AVERAGE(GO45:GO54)</f>
        <v>333161.59999999998</v>
      </c>
      <c r="GP118" s="25"/>
      <c r="GQ118" s="25"/>
      <c r="GT118" s="6"/>
      <c r="GU118" s="6"/>
      <c r="GV118" s="6"/>
      <c r="GW118" s="6"/>
      <c r="GX118" s="6"/>
      <c r="GY118" s="6"/>
      <c r="HA118" s="53"/>
      <c r="HB118" s="53"/>
      <c r="HC118" s="53"/>
      <c r="HD118" s="53"/>
      <c r="HE118" s="53"/>
      <c r="HF118" s="182"/>
      <c r="HI118"/>
    </row>
    <row r="119" spans="1:217">
      <c r="A119" s="24">
        <v>34212</v>
      </c>
      <c r="B119" s="48">
        <f t="shared" si="371"/>
        <v>1232278.8799999999</v>
      </c>
      <c r="C119" s="95">
        <f t="shared" si="372"/>
        <v>69082.894</v>
      </c>
      <c r="D119" s="25">
        <f t="shared" si="313"/>
        <v>3963.3969999999972</v>
      </c>
      <c r="E119" s="25">
        <f t="shared" si="370"/>
        <v>-16186.107166666661</v>
      </c>
      <c r="F119" s="48">
        <f t="shared" si="299"/>
        <v>-12797.004666666669</v>
      </c>
      <c r="G119" s="48">
        <f t="shared" si="300"/>
        <v>170109.97986056341</v>
      </c>
      <c r="H119" s="25">
        <f t="shared" si="375"/>
        <v>-194233.28599999993</v>
      </c>
      <c r="I119" s="25">
        <f t="shared" si="367"/>
        <v>-360238.91700000002</v>
      </c>
      <c r="J119" s="25">
        <f t="shared" si="368"/>
        <v>166005.63100000008</v>
      </c>
      <c r="K119" s="25"/>
      <c r="L119" s="25">
        <f t="shared" si="369"/>
        <v>39283.270000000004</v>
      </c>
      <c r="M119" s="48">
        <f t="shared" si="301"/>
        <v>183480.27741666665</v>
      </c>
      <c r="N119" s="61">
        <f t="shared" si="302"/>
        <v>327422.95505446015</v>
      </c>
      <c r="O119" s="48">
        <f t="shared" si="303"/>
        <v>-353016.9643877935</v>
      </c>
      <c r="P119" s="25">
        <f t="shared" si="363"/>
        <v>347835.3593688212</v>
      </c>
      <c r="Q119" s="25">
        <f t="shared" si="364"/>
        <v>-222153.80880728277</v>
      </c>
      <c r="R119" s="95">
        <f t="shared" si="373"/>
        <v>1232278.8799999999</v>
      </c>
      <c r="S119" s="25">
        <f t="shared" si="374"/>
        <v>178417.15299999993</v>
      </c>
      <c r="T119" s="25">
        <f t="shared" si="365"/>
        <v>1418522.2143234741</v>
      </c>
      <c r="U119" s="25">
        <f t="shared" si="366"/>
        <v>776443.85114146117</v>
      </c>
      <c r="W119" s="25">
        <f t="shared" si="330"/>
        <v>13035217.7256</v>
      </c>
      <c r="X119" s="157">
        <f t="shared" si="357"/>
        <v>-0.1519628236679515</v>
      </c>
      <c r="Y119" s="25">
        <f t="shared" si="331"/>
        <v>2259003.2318464802</v>
      </c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 s="48"/>
      <c r="BB119"/>
      <c r="DI119" s="6"/>
      <c r="DU119" s="55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 s="179"/>
      <c r="GN119" s="180"/>
      <c r="GT119" s="6"/>
      <c r="GU119" s="6"/>
      <c r="GV119" s="6"/>
      <c r="GW119" s="6"/>
      <c r="GX119" s="6"/>
      <c r="GY119" s="6"/>
      <c r="GZ119" s="185"/>
      <c r="HA119" s="53"/>
      <c r="HB119" s="53"/>
      <c r="HC119" s="3"/>
      <c r="HD119" s="53"/>
      <c r="HE119" s="53"/>
      <c r="HF119" s="182"/>
    </row>
    <row r="120" spans="1:217">
      <c r="A120" s="24">
        <v>34242</v>
      </c>
      <c r="B120" s="48">
        <f t="shared" si="371"/>
        <v>1261277.79</v>
      </c>
      <c r="C120" s="95">
        <f t="shared" si="372"/>
        <v>183978.49300000002</v>
      </c>
      <c r="D120" s="25">
        <f t="shared" si="313"/>
        <v>282861.011</v>
      </c>
      <c r="E120" s="25">
        <f t="shared" si="370"/>
        <v>23447.321249999997</v>
      </c>
      <c r="F120" s="48">
        <f t="shared" si="299"/>
        <v>-9756.5631166666681</v>
      </c>
      <c r="G120" s="48">
        <f t="shared" si="300"/>
        <v>171990.68535575605</v>
      </c>
      <c r="H120" s="25">
        <f t="shared" si="375"/>
        <v>281367.85499999998</v>
      </c>
      <c r="I120" s="25">
        <f t="shared" si="367"/>
        <v>-627594.00150000001</v>
      </c>
      <c r="J120" s="25">
        <f t="shared" si="368"/>
        <v>908961.85649999999</v>
      </c>
      <c r="K120" s="25"/>
      <c r="L120" s="25">
        <f t="shared" si="369"/>
        <v>114895.59900000002</v>
      </c>
      <c r="M120" s="48">
        <f t="shared" si="301"/>
        <v>184665.73739999998</v>
      </c>
      <c r="N120" s="61">
        <f t="shared" si="302"/>
        <v>334224.80759484542</v>
      </c>
      <c r="O120" s="48">
        <f t="shared" si="303"/>
        <v>-353737.93382817879</v>
      </c>
      <c r="P120" s="25">
        <f t="shared" si="363"/>
        <v>347835.3593688212</v>
      </c>
      <c r="Q120" s="25">
        <f t="shared" si="364"/>
        <v>-222153.80880728277</v>
      </c>
      <c r="R120" s="95">
        <f t="shared" si="373"/>
        <v>1261277.79</v>
      </c>
      <c r="S120" s="25">
        <f t="shared" si="374"/>
        <v>28998.910000000149</v>
      </c>
      <c r="T120" s="25">
        <f t="shared" si="365"/>
        <v>1418522.2143234741</v>
      </c>
      <c r="U120" s="25">
        <f t="shared" si="366"/>
        <v>776443.85114146117</v>
      </c>
      <c r="W120" s="25">
        <f t="shared" si="330"/>
        <v>13280535.045199998</v>
      </c>
      <c r="X120" s="157">
        <f t="shared" si="357"/>
        <v>-0.12349961216287123</v>
      </c>
      <c r="Y120" s="25">
        <f t="shared" si="331"/>
        <v>2301516.7233331599</v>
      </c>
      <c r="AB120"/>
      <c r="AC120"/>
      <c r="AD120"/>
      <c r="AE120"/>
      <c r="AF120"/>
      <c r="AG120"/>
      <c r="AH120"/>
      <c r="AI120"/>
      <c r="AJ120"/>
      <c r="BA120" s="48"/>
      <c r="DI120" s="6"/>
      <c r="DU120" s="55"/>
      <c r="GF120" s="6"/>
      <c r="GH120" s="180"/>
      <c r="GT120" s="6"/>
      <c r="GY120" s="53"/>
      <c r="GZ120" s="182"/>
    </row>
    <row r="121" spans="1:217">
      <c r="A121" s="24">
        <v>34273</v>
      </c>
      <c r="B121" s="48">
        <f t="shared" si="371"/>
        <v>1152859.8500000001</v>
      </c>
      <c r="C121" s="95">
        <f t="shared" si="372"/>
        <v>43426.35</v>
      </c>
      <c r="D121" s="25">
        <f t="shared" si="313"/>
        <v>296487.73700000002</v>
      </c>
      <c r="E121" s="25">
        <f t="shared" si="370"/>
        <v>12981.747750000004</v>
      </c>
      <c r="F121" s="48">
        <f t="shared" si="299"/>
        <v>-3986.1572833333353</v>
      </c>
      <c r="G121" s="48">
        <f t="shared" si="300"/>
        <v>167748.00706626219</v>
      </c>
      <c r="H121" s="25">
        <f t="shared" si="375"/>
        <v>155780.97300000006</v>
      </c>
      <c r="I121" s="25">
        <f t="shared" si="367"/>
        <v>-708286.44099999999</v>
      </c>
      <c r="J121" s="25">
        <f t="shared" si="368"/>
        <v>864067.41400000011</v>
      </c>
      <c r="K121" s="25"/>
      <c r="L121" s="25">
        <f t="shared" si="369"/>
        <v>140552.14300000001</v>
      </c>
      <c r="M121" s="48">
        <f t="shared" si="301"/>
        <v>181935.77311666665</v>
      </c>
      <c r="N121" s="61">
        <f t="shared" si="302"/>
        <v>331509.85684919101</v>
      </c>
      <c r="O121" s="48">
        <f t="shared" si="303"/>
        <v>-339482.17141585774</v>
      </c>
      <c r="P121" s="25">
        <f t="shared" si="363"/>
        <v>347835.3593688212</v>
      </c>
      <c r="Q121" s="25">
        <f t="shared" si="364"/>
        <v>-222153.80880728277</v>
      </c>
      <c r="R121" s="95">
        <f t="shared" si="373"/>
        <v>1152859.8500000001</v>
      </c>
      <c r="S121" s="25">
        <f t="shared" si="374"/>
        <v>108417.93999999994</v>
      </c>
      <c r="T121" s="25">
        <f t="shared" si="365"/>
        <v>1418522.2143234741</v>
      </c>
      <c r="U121" s="25">
        <f t="shared" si="366"/>
        <v>776443.85114146117</v>
      </c>
      <c r="W121" s="25">
        <f t="shared" si="330"/>
        <v>13067975.951199999</v>
      </c>
      <c r="X121" s="157">
        <f t="shared" si="357"/>
        <v>-0.1249302001613256</v>
      </c>
      <c r="Y121" s="25">
        <f t="shared" si="331"/>
        <v>2264680.2323429598</v>
      </c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 s="48"/>
      <c r="DI121" s="6"/>
      <c r="DU121" s="55"/>
      <c r="FT121"/>
      <c r="FU121"/>
      <c r="FV121"/>
      <c r="GF121" s="6"/>
      <c r="GH121" s="180"/>
      <c r="GT121" s="6"/>
      <c r="GY121" s="53"/>
      <c r="GZ121" s="182"/>
    </row>
    <row r="122" spans="1:217">
      <c r="A122" s="24">
        <v>34303</v>
      </c>
      <c r="B122" s="48">
        <f t="shared" si="371"/>
        <v>1212117</v>
      </c>
      <c r="C122" s="95">
        <f t="shared" si="372"/>
        <v>50042.01</v>
      </c>
      <c r="D122" s="25">
        <f t="shared" si="313"/>
        <v>277446.853</v>
      </c>
      <c r="E122" s="25">
        <f t="shared" si="370"/>
        <v>3020.1885833333349</v>
      </c>
      <c r="F122" s="48">
        <f t="shared" si="299"/>
        <v>4158.9428833333359</v>
      </c>
      <c r="G122" s="48">
        <f t="shared" si="300"/>
        <v>157857.36401838498</v>
      </c>
      <c r="H122" s="25">
        <f t="shared" si="375"/>
        <v>36242.263000000021</v>
      </c>
      <c r="I122" s="25">
        <f t="shared" si="367"/>
        <v>-319863.52300000004</v>
      </c>
      <c r="J122" s="25">
        <f t="shared" si="368"/>
        <v>356105.78600000008</v>
      </c>
      <c r="K122" s="25"/>
      <c r="L122" s="25">
        <f t="shared" si="369"/>
        <v>6615.6600000000035</v>
      </c>
      <c r="M122" s="48">
        <f t="shared" si="301"/>
        <v>179781.6007833333</v>
      </c>
      <c r="N122" s="61">
        <f t="shared" si="302"/>
        <v>319873.67092010326</v>
      </c>
      <c r="O122" s="48">
        <f t="shared" si="303"/>
        <v>-311555.78515343665</v>
      </c>
      <c r="P122" s="25">
        <f t="shared" si="363"/>
        <v>347835.3593688212</v>
      </c>
      <c r="Q122" s="25">
        <f t="shared" si="364"/>
        <v>-222153.80880728277</v>
      </c>
      <c r="R122" s="95">
        <f t="shared" si="373"/>
        <v>1212117</v>
      </c>
      <c r="S122" s="25">
        <f t="shared" si="374"/>
        <v>59257.149999999907</v>
      </c>
      <c r="T122" s="25">
        <f t="shared" si="365"/>
        <v>1418522.2143234741</v>
      </c>
      <c r="U122" s="25">
        <f t="shared" si="366"/>
        <v>776443.85114146117</v>
      </c>
      <c r="W122" s="25">
        <f t="shared" si="330"/>
        <v>13105212.707999999</v>
      </c>
      <c r="X122" s="157">
        <f t="shared" si="357"/>
        <v>-0.12333054520304333</v>
      </c>
      <c r="Y122" s="25">
        <f t="shared" si="331"/>
        <v>2271133.3622964001</v>
      </c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 s="48"/>
      <c r="DI122" s="6"/>
      <c r="DU122" s="55"/>
      <c r="GF122" s="6"/>
      <c r="GH122" s="180"/>
      <c r="GT122" s="6"/>
      <c r="GY122" s="53"/>
      <c r="GZ122" s="182"/>
    </row>
    <row r="123" spans="1:217">
      <c r="A123" s="24">
        <v>34334</v>
      </c>
      <c r="B123" s="48">
        <f t="shared" ref="B123:B134" si="376">BS3</f>
        <v>947414</v>
      </c>
      <c r="C123" s="95">
        <f t="shared" ref="C123:C134" si="377">AL3</f>
        <v>82431</v>
      </c>
      <c r="D123" s="25">
        <f t="shared" si="313"/>
        <v>175899.36000000002</v>
      </c>
      <c r="E123" s="25">
        <f t="shared" si="370"/>
        <v>3490.79966666667</v>
      </c>
      <c r="F123" s="48">
        <f t="shared" si="299"/>
        <v>4895.8262166666709</v>
      </c>
      <c r="G123" s="48">
        <f t="shared" si="300"/>
        <v>158122.01954561906</v>
      </c>
      <c r="H123" s="25">
        <f t="shared" si="375"/>
        <v>41889.596000000041</v>
      </c>
      <c r="I123" s="25">
        <f t="shared" si="367"/>
        <v>-79350.854000000036</v>
      </c>
      <c r="J123" s="25">
        <f t="shared" si="368"/>
        <v>121240.45000000007</v>
      </c>
      <c r="K123"/>
      <c r="L123" s="25">
        <f t="shared" si="369"/>
        <v>32388.989999999998</v>
      </c>
      <c r="M123" s="48">
        <f t="shared" si="301"/>
        <v>172373.38394999999</v>
      </c>
      <c r="N123" s="61">
        <f t="shared" si="302"/>
        <v>321139.86530790478</v>
      </c>
      <c r="O123" s="48">
        <f t="shared" si="303"/>
        <v>-311348.21287457144</v>
      </c>
      <c r="P123" s="25">
        <f t="shared" si="363"/>
        <v>347835.3593688212</v>
      </c>
      <c r="Q123" s="25">
        <f t="shared" si="364"/>
        <v>-222153.80880728277</v>
      </c>
      <c r="R123" s="95">
        <f t="shared" ref="R123:R134" si="378">BS3</f>
        <v>947414</v>
      </c>
      <c r="S123" s="25">
        <f t="shared" si="374"/>
        <v>264703</v>
      </c>
      <c r="T123" s="25">
        <f t="shared" si="365"/>
        <v>1418522.2143234741</v>
      </c>
      <c r="U123" s="25">
        <f t="shared" si="366"/>
        <v>776443.85114146117</v>
      </c>
      <c r="W123" s="25">
        <f t="shared" si="330"/>
        <v>13000380.979999999</v>
      </c>
      <c r="X123" s="157">
        <f t="shared" si="357"/>
        <v>-0.1316250802966632</v>
      </c>
      <c r="Y123" s="25">
        <f t="shared" si="331"/>
        <v>2252966.0238339999</v>
      </c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 s="48"/>
      <c r="DI123" s="6"/>
      <c r="DU123" s="55"/>
      <c r="GF123" s="6"/>
      <c r="GH123" s="180"/>
      <c r="GT123" s="185"/>
      <c r="GY123" s="53"/>
      <c r="GZ123" s="182"/>
    </row>
    <row r="124" spans="1:217">
      <c r="A124" s="24">
        <v>34365</v>
      </c>
      <c r="B124" s="48">
        <f t="shared" si="376"/>
        <v>861699</v>
      </c>
      <c r="C124" s="95">
        <f t="shared" si="377"/>
        <v>-201020</v>
      </c>
      <c r="D124" s="25">
        <f t="shared" si="313"/>
        <v>-68546.989999999991</v>
      </c>
      <c r="E124" s="25">
        <f t="shared" si="370"/>
        <v>-13888.018749999996</v>
      </c>
      <c r="F124" s="48">
        <f t="shared" si="299"/>
        <v>4045.4928833333347</v>
      </c>
      <c r="G124" s="48">
        <f t="shared" si="300"/>
        <v>159103.26235064142</v>
      </c>
      <c r="H124" s="25">
        <f t="shared" si="375"/>
        <v>-166656.22499999995</v>
      </c>
      <c r="I124" s="25">
        <f t="shared" si="367"/>
        <v>-208091.625</v>
      </c>
      <c r="J124" s="25">
        <f t="shared" si="368"/>
        <v>41435.400000000052</v>
      </c>
      <c r="K124" s="25">
        <f>AVERAGE(C122+C123+C124)</f>
        <v>-68546.989999999991</v>
      </c>
      <c r="L124" s="25">
        <f t="shared" ref="L124:L140" si="379">((C123-C124)^2)^0.5</f>
        <v>283451</v>
      </c>
      <c r="M124" s="48">
        <f t="shared" si="301"/>
        <v>173960.60061666663</v>
      </c>
      <c r="N124" s="61">
        <f t="shared" si="302"/>
        <v>322252.0175846162</v>
      </c>
      <c r="O124" s="48">
        <f t="shared" si="303"/>
        <v>-314161.03181794949</v>
      </c>
      <c r="P124" s="25">
        <f t="shared" si="363"/>
        <v>347835.3593688212</v>
      </c>
      <c r="Q124" s="25">
        <f t="shared" si="364"/>
        <v>-222153.80880728277</v>
      </c>
      <c r="R124" s="95">
        <f t="shared" si="378"/>
        <v>861699</v>
      </c>
      <c r="S124" s="25">
        <f t="shared" si="374"/>
        <v>85715</v>
      </c>
      <c r="T124" s="25">
        <f t="shared" si="365"/>
        <v>1418522.2143234741</v>
      </c>
      <c r="U124" s="25">
        <f t="shared" si="366"/>
        <v>776443.85114146117</v>
      </c>
      <c r="W124" s="25">
        <f t="shared" si="330"/>
        <v>12797940.689999999</v>
      </c>
      <c r="X124" s="157">
        <f t="shared" si="357"/>
        <v>-0.12656265033230513</v>
      </c>
      <c r="Y124" s="25">
        <f t="shared" si="331"/>
        <v>2217883.1215770002</v>
      </c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 s="48"/>
      <c r="DI124" s="6"/>
      <c r="DU124" s="55"/>
      <c r="GF124" s="6"/>
      <c r="GH124" s="180"/>
      <c r="GT124" s="6"/>
      <c r="GX124" s="3"/>
      <c r="GY124" s="53"/>
      <c r="GZ124" s="182"/>
      <c r="HA124"/>
      <c r="HB124"/>
    </row>
    <row r="125" spans="1:217">
      <c r="A125" s="24">
        <v>34393</v>
      </c>
      <c r="B125" s="48">
        <f t="shared" si="376"/>
        <v>1115770</v>
      </c>
      <c r="C125" s="95">
        <f t="shared" si="377"/>
        <v>-147362</v>
      </c>
      <c r="D125" s="25">
        <f t="shared" si="313"/>
        <v>-265951</v>
      </c>
      <c r="E125" s="25">
        <f t="shared" si="370"/>
        <v>-26165.157083333335</v>
      </c>
      <c r="F125" s="48">
        <f t="shared" si="299"/>
        <v>719.85955000000058</v>
      </c>
      <c r="G125" s="48">
        <f t="shared" si="300"/>
        <v>160162.05407195102</v>
      </c>
      <c r="H125" s="25">
        <f t="shared" si="375"/>
        <v>-313981.88500000001</v>
      </c>
      <c r="I125" s="25">
        <f t="shared" si="367"/>
        <v>30611.02700000002</v>
      </c>
      <c r="J125" s="25">
        <f t="shared" si="368"/>
        <v>-344592.91200000001</v>
      </c>
      <c r="L125" s="25">
        <f t="shared" si="379"/>
        <v>53658</v>
      </c>
      <c r="M125" s="48">
        <f t="shared" si="301"/>
        <v>171485.30061666665</v>
      </c>
      <c r="N125" s="61">
        <f t="shared" si="302"/>
        <v>321043.96769390203</v>
      </c>
      <c r="O125" s="48">
        <f t="shared" si="303"/>
        <v>-319604.24859390204</v>
      </c>
      <c r="P125" s="25">
        <f t="shared" si="363"/>
        <v>347835.3593688212</v>
      </c>
      <c r="Q125" s="25">
        <f t="shared" si="364"/>
        <v>-222153.80880728277</v>
      </c>
      <c r="R125" s="95">
        <f t="shared" si="378"/>
        <v>1115770</v>
      </c>
      <c r="S125" s="25">
        <f t="shared" si="374"/>
        <v>254071</v>
      </c>
      <c r="T125" s="25">
        <f t="shared" si="365"/>
        <v>1418522.2143234741</v>
      </c>
      <c r="U125" s="25">
        <f t="shared" si="366"/>
        <v>776443.85114146117</v>
      </c>
      <c r="W125" s="25">
        <f t="shared" si="330"/>
        <v>12881430.220000001</v>
      </c>
      <c r="X125" s="157">
        <f t="shared" si="357"/>
        <v>-0.12051586293797653</v>
      </c>
      <c r="Y125" s="25">
        <f t="shared" si="331"/>
        <v>2232351.8571260003</v>
      </c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 s="48"/>
      <c r="DI125" s="6"/>
      <c r="DU125" s="55"/>
      <c r="GF125" s="6"/>
      <c r="GH125" s="180"/>
      <c r="GT125" s="185"/>
      <c r="GY125" s="53"/>
      <c r="GZ125" s="134"/>
    </row>
    <row r="126" spans="1:217">
      <c r="A126" s="24">
        <v>34424</v>
      </c>
      <c r="B126" s="48">
        <f t="shared" si="376"/>
        <v>945492</v>
      </c>
      <c r="C126" s="95">
        <f t="shared" si="377"/>
        <v>-35232</v>
      </c>
      <c r="D126" s="25">
        <f t="shared" si="313"/>
        <v>-383614</v>
      </c>
      <c r="E126" s="25">
        <f t="shared" si="370"/>
        <v>-10902.695999999996</v>
      </c>
      <c r="F126" s="48">
        <f t="shared" si="299"/>
        <v>-1234.0237833333299</v>
      </c>
      <c r="G126" s="48">
        <f t="shared" si="300"/>
        <v>159868.48318919816</v>
      </c>
      <c r="H126" s="25">
        <f t="shared" si="375"/>
        <v>-130832.35199999996</v>
      </c>
      <c r="I126" s="25">
        <f t="shared" si="367"/>
        <v>-173725.54599999997</v>
      </c>
      <c r="J126" s="25">
        <f t="shared" si="368"/>
        <v>42893.194000000018</v>
      </c>
      <c r="L126" s="25">
        <f t="shared" si="379"/>
        <v>112130</v>
      </c>
      <c r="M126" s="48">
        <f t="shared" si="301"/>
        <v>172857.05061666665</v>
      </c>
      <c r="N126" s="61">
        <f t="shared" si="302"/>
        <v>318502.94259506301</v>
      </c>
      <c r="O126" s="48">
        <f t="shared" si="303"/>
        <v>-320970.99016172963</v>
      </c>
      <c r="P126" s="25">
        <f t="shared" si="363"/>
        <v>347835.3593688212</v>
      </c>
      <c r="Q126" s="25">
        <f t="shared" si="364"/>
        <v>-222153.80880728277</v>
      </c>
      <c r="R126" s="95">
        <f t="shared" si="378"/>
        <v>945492</v>
      </c>
      <c r="S126" s="25">
        <f t="shared" si="374"/>
        <v>170278</v>
      </c>
      <c r="T126" s="25">
        <f t="shared" si="365"/>
        <v>1418522.2143234741</v>
      </c>
      <c r="U126" s="25">
        <f t="shared" si="366"/>
        <v>776443.85114146117</v>
      </c>
      <c r="W126" s="25">
        <f t="shared" si="330"/>
        <v>12969380.377</v>
      </c>
      <c r="X126" s="157">
        <f t="shared" si="357"/>
        <v>-9.3428207958477769E-2</v>
      </c>
      <c r="Y126" s="25">
        <f t="shared" si="331"/>
        <v>2247593.6193341003</v>
      </c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 s="48"/>
      <c r="DI126" s="6"/>
      <c r="DU126" s="55"/>
      <c r="GF126" s="6"/>
      <c r="GH126" s="180"/>
      <c r="GT126" s="6"/>
      <c r="GY126" s="53"/>
      <c r="GZ126" s="182"/>
    </row>
    <row r="127" spans="1:217">
      <c r="A127" s="24">
        <v>34454</v>
      </c>
      <c r="B127" s="48">
        <f t="shared" si="376"/>
        <v>885786</v>
      </c>
      <c r="C127" s="95">
        <f t="shared" si="377"/>
        <v>-243329</v>
      </c>
      <c r="D127" s="25">
        <f t="shared" si="313"/>
        <v>-425923</v>
      </c>
      <c r="E127" s="25">
        <f t="shared" ref="E127:E140" si="380">AVERAGE(C116:C127)</f>
        <v>-35319.538583333328</v>
      </c>
      <c r="F127" s="48">
        <f t="shared" si="299"/>
        <v>-7554.4992833333326</v>
      </c>
      <c r="G127" s="48">
        <f t="shared" si="300"/>
        <v>161839.29277239222</v>
      </c>
      <c r="H127" s="25">
        <f t="shared" si="375"/>
        <v>-423834.46299999993</v>
      </c>
      <c r="I127" s="25">
        <f t="shared" si="367"/>
        <v>-291753.55500000005</v>
      </c>
      <c r="J127" s="25">
        <f t="shared" si="368"/>
        <v>-132080.90799999988</v>
      </c>
      <c r="L127" s="25">
        <f t="shared" si="379"/>
        <v>208097</v>
      </c>
      <c r="M127" s="48">
        <f t="shared" si="301"/>
        <v>175427.02511666666</v>
      </c>
      <c r="N127" s="61">
        <f t="shared" si="302"/>
        <v>316124.08626145113</v>
      </c>
      <c r="O127" s="48">
        <f t="shared" si="303"/>
        <v>-331233.08482811775</v>
      </c>
      <c r="P127" s="25">
        <f t="shared" si="363"/>
        <v>347835.3593688212</v>
      </c>
      <c r="Q127" s="25">
        <f t="shared" si="364"/>
        <v>-222153.80880728277</v>
      </c>
      <c r="R127" s="95">
        <f t="shared" si="378"/>
        <v>885786</v>
      </c>
      <c r="S127" s="25">
        <f t="shared" si="374"/>
        <v>59706</v>
      </c>
      <c r="T127" s="25">
        <f t="shared" si="365"/>
        <v>1418522.2143234741</v>
      </c>
      <c r="U127" s="25">
        <f t="shared" si="366"/>
        <v>776443.85114146117</v>
      </c>
      <c r="W127" s="25">
        <f t="shared" si="330"/>
        <v>12774082.439999999</v>
      </c>
      <c r="X127" s="157">
        <f t="shared" si="357"/>
        <v>-7.9813213406245337E-2</v>
      </c>
      <c r="Y127" s="25">
        <f t="shared" si="331"/>
        <v>2213748.486852</v>
      </c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 s="48"/>
      <c r="DI127" s="6"/>
      <c r="DU127" s="55"/>
      <c r="GF127" s="6"/>
      <c r="GH127" s="180"/>
      <c r="GT127" s="6"/>
      <c r="GY127" s="3"/>
      <c r="GZ127" s="182"/>
    </row>
    <row r="128" spans="1:217">
      <c r="A128" s="24">
        <v>34485</v>
      </c>
      <c r="B128" s="48">
        <f t="shared" si="376"/>
        <v>1046300</v>
      </c>
      <c r="C128" s="95">
        <f t="shared" si="377"/>
        <v>-2172</v>
      </c>
      <c r="D128" s="25">
        <f t="shared" si="313"/>
        <v>-280733</v>
      </c>
      <c r="E128" s="25">
        <f t="shared" si="380"/>
        <v>-22106.145833333332</v>
      </c>
      <c r="F128" s="48">
        <f t="shared" ref="F128:F191" si="381">IF(B128&lt;&gt;"",AVERAGE(C69:C128),"")</f>
        <v>-10558.86195</v>
      </c>
      <c r="G128" s="48">
        <f t="shared" ref="G128:G191" si="382">IF(B128&lt;&gt;"",STDEV(C69:C128),"")</f>
        <v>159997.30151382918</v>
      </c>
      <c r="H128" s="25">
        <f t="shared" si="375"/>
        <v>-265273.75</v>
      </c>
      <c r="I128" s="25">
        <f t="shared" si="367"/>
        <v>-418957.34299999999</v>
      </c>
      <c r="J128" s="25">
        <f t="shared" si="368"/>
        <v>153683.59299999999</v>
      </c>
      <c r="L128" s="25">
        <f t="shared" si="379"/>
        <v>241157</v>
      </c>
      <c r="M128" s="48">
        <f t="shared" ref="M128:M191" si="383">IF(C128&lt;&gt;"",AVERAGE(L69:L128),"")</f>
        <v>178743.13794999997</v>
      </c>
      <c r="N128" s="61">
        <f t="shared" ref="N128:N191" si="384">IF(B128&lt;&gt;"",F128+$N$1*G128,"")</f>
        <v>309435.74107765837</v>
      </c>
      <c r="O128" s="48">
        <f t="shared" ref="O128:O191" si="385">IF(B128&lt;&gt;"",F128-$N$1*G128,"")</f>
        <v>-330553.46497765835</v>
      </c>
      <c r="P128" s="25">
        <v>345890.25666666665</v>
      </c>
      <c r="Q128" s="25">
        <v>-294834.42333333328</v>
      </c>
      <c r="R128" s="95">
        <f t="shared" si="378"/>
        <v>1046300</v>
      </c>
      <c r="S128" s="25">
        <f t="shared" ref="S128:S140" si="386">IF(R128&gt;0,ABS(R127-R128)," ")</f>
        <v>160514</v>
      </c>
      <c r="T128" s="25">
        <f t="shared" si="365"/>
        <v>1418522.2143234741</v>
      </c>
      <c r="U128" s="25">
        <f t="shared" si="366"/>
        <v>776443.85114146117</v>
      </c>
      <c r="W128" s="25">
        <f t="shared" si="330"/>
        <v>12870917.143999999</v>
      </c>
      <c r="X128" s="157">
        <f t="shared" si="357"/>
        <v>-3.4992858990857349E-2</v>
      </c>
      <c r="Y128" s="25">
        <f t="shared" si="331"/>
        <v>2230529.9410552001</v>
      </c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 s="48"/>
      <c r="DI128" s="6"/>
      <c r="DU128" s="55"/>
      <c r="GF128" s="6"/>
      <c r="GH128" s="180"/>
      <c r="GT128" s="6"/>
      <c r="GY128" s="53"/>
      <c r="GZ128" s="182"/>
    </row>
    <row r="129" spans="1:208">
      <c r="A129" s="24">
        <v>34515</v>
      </c>
      <c r="B129" s="48">
        <f t="shared" si="376"/>
        <v>998754</v>
      </c>
      <c r="C129" s="95">
        <f t="shared" si="377"/>
        <v>-35374</v>
      </c>
      <c r="D129" s="25">
        <f t="shared" si="313"/>
        <v>-280875</v>
      </c>
      <c r="E129" s="25">
        <f t="shared" si="380"/>
        <v>-17144.052416666669</v>
      </c>
      <c r="F129" s="48">
        <f t="shared" si="381"/>
        <v>-10270.211950000001</v>
      </c>
      <c r="G129" s="48">
        <f t="shared" si="382"/>
        <v>159935.60989139395</v>
      </c>
      <c r="H129" s="25">
        <f t="shared" si="375"/>
        <v>-205728.62900000002</v>
      </c>
      <c r="I129" s="25">
        <f t="shared" si="367"/>
        <v>-162060.739</v>
      </c>
      <c r="J129" s="25">
        <f t="shared" si="368"/>
        <v>-43667.890000000014</v>
      </c>
      <c r="L129" s="25">
        <f t="shared" si="379"/>
        <v>33202</v>
      </c>
      <c r="M129" s="48">
        <f t="shared" si="383"/>
        <v>175450.12528333333</v>
      </c>
      <c r="N129" s="61">
        <f t="shared" si="384"/>
        <v>309601.00783278787</v>
      </c>
      <c r="O129" s="48">
        <f t="shared" si="385"/>
        <v>-330141.43173278793</v>
      </c>
      <c r="P129" s="25">
        <v>345890.25666666665</v>
      </c>
      <c r="Q129" s="25">
        <v>-294834.42333333328</v>
      </c>
      <c r="R129" s="95">
        <f t="shared" si="378"/>
        <v>998754</v>
      </c>
      <c r="S129" s="25">
        <f t="shared" si="386"/>
        <v>47546</v>
      </c>
      <c r="T129" s="25">
        <f t="shared" si="365"/>
        <v>1418522.2143234741</v>
      </c>
      <c r="U129" s="25">
        <f t="shared" si="366"/>
        <v>776443.85114146117</v>
      </c>
      <c r="W129" s="25">
        <f t="shared" si="330"/>
        <v>12713610.247</v>
      </c>
      <c r="X129" s="157">
        <f t="shared" si="357"/>
        <v>-3.3125432521438306E-2</v>
      </c>
      <c r="Y129" s="25">
        <f t="shared" si="331"/>
        <v>2203268.6558051002</v>
      </c>
      <c r="AB129"/>
      <c r="AC129"/>
      <c r="AD129"/>
      <c r="AE129"/>
      <c r="AF129"/>
      <c r="AG129"/>
      <c r="AH129"/>
      <c r="AI129"/>
      <c r="AJ129"/>
      <c r="BA129" s="48"/>
      <c r="DI129" s="6"/>
      <c r="DU129" s="55"/>
      <c r="GF129" s="6"/>
      <c r="GH129" s="180"/>
      <c r="GT129" s="185"/>
      <c r="GY129" s="53"/>
      <c r="GZ129" s="182"/>
    </row>
    <row r="130" spans="1:208">
      <c r="A130" s="24">
        <v>34546</v>
      </c>
      <c r="B130" s="48">
        <f t="shared" si="376"/>
        <v>926298</v>
      </c>
      <c r="C130" s="95">
        <f t="shared" si="377"/>
        <v>-110384</v>
      </c>
      <c r="D130" s="25">
        <f t="shared" si="313"/>
        <v>-147930</v>
      </c>
      <c r="E130" s="25">
        <f t="shared" si="380"/>
        <v>-28826.021083333329</v>
      </c>
      <c r="F130" s="48">
        <f t="shared" si="381"/>
        <v>-12647.278616666668</v>
      </c>
      <c r="G130" s="48">
        <f t="shared" si="382"/>
        <v>160352.42886069955</v>
      </c>
      <c r="H130" s="25">
        <f t="shared" si="375"/>
        <v>-345912.25299999997</v>
      </c>
      <c r="I130" s="25">
        <f t="shared" si="367"/>
        <v>-173078.73999999993</v>
      </c>
      <c r="J130" s="25">
        <f t="shared" si="368"/>
        <v>-172833.51300000004</v>
      </c>
      <c r="L130" s="25">
        <f t="shared" si="379"/>
        <v>75010</v>
      </c>
      <c r="M130" s="48">
        <f t="shared" si="383"/>
        <v>175284.74195</v>
      </c>
      <c r="N130" s="61">
        <f t="shared" si="384"/>
        <v>308057.57910473243</v>
      </c>
      <c r="O130" s="48">
        <f t="shared" si="385"/>
        <v>-333352.13633806579</v>
      </c>
      <c r="P130" s="25">
        <v>345890.25666666665</v>
      </c>
      <c r="Q130" s="25">
        <v>-294834.42333333328</v>
      </c>
      <c r="R130" s="95">
        <f t="shared" si="378"/>
        <v>926298</v>
      </c>
      <c r="S130" s="25">
        <f t="shared" si="386"/>
        <v>72456</v>
      </c>
      <c r="T130" s="25">
        <f t="shared" si="365"/>
        <v>1418522.2143234741</v>
      </c>
      <c r="U130" s="25">
        <f t="shared" si="366"/>
        <v>776443.85114146117</v>
      </c>
      <c r="W130" s="25">
        <f t="shared" si="330"/>
        <v>12586046.52</v>
      </c>
      <c r="X130" s="157">
        <f t="shared" si="357"/>
        <v>-3.2082033107540736E-2</v>
      </c>
      <c r="Y130" s="25">
        <f t="shared" si="331"/>
        <v>2181161.861916</v>
      </c>
      <c r="AB130"/>
      <c r="AC130"/>
      <c r="AD130"/>
      <c r="AE130"/>
      <c r="AF130"/>
      <c r="AG130"/>
      <c r="AH130"/>
      <c r="AI130"/>
      <c r="AJ130"/>
      <c r="BA130" s="48"/>
      <c r="DI130" s="6"/>
      <c r="DU130" s="55"/>
      <c r="GF130" s="6"/>
      <c r="GH130" s="180"/>
      <c r="GL130"/>
      <c r="GM130"/>
      <c r="GN130"/>
      <c r="GO130"/>
      <c r="GP130"/>
      <c r="GQ130"/>
      <c r="GR130"/>
      <c r="GS130"/>
      <c r="GT130" s="6"/>
      <c r="GY130" s="53"/>
      <c r="GZ130" s="182"/>
    </row>
    <row r="131" spans="1:208">
      <c r="A131" s="24">
        <v>34577</v>
      </c>
      <c r="B131" s="48">
        <f t="shared" si="376"/>
        <v>828776</v>
      </c>
      <c r="C131" s="95">
        <f t="shared" si="377"/>
        <v>-417879</v>
      </c>
      <c r="D131" s="25">
        <f t="shared" si="313"/>
        <v>-563637</v>
      </c>
      <c r="E131" s="25">
        <f t="shared" si="380"/>
        <v>-69406.178916666671</v>
      </c>
      <c r="F131" s="48">
        <f t="shared" si="381"/>
        <v>-20177.002116666663</v>
      </c>
      <c r="G131" s="48">
        <f t="shared" si="382"/>
        <v>168528.27903286967</v>
      </c>
      <c r="H131" s="25">
        <f t="shared" ref="H131:H140" si="387">SUM(C120:C131)</f>
        <v>-832874.147</v>
      </c>
      <c r="I131" s="25">
        <f t="shared" si="367"/>
        <v>-194233.28599999993</v>
      </c>
      <c r="J131" s="25">
        <f t="shared" si="368"/>
        <v>-638640.86100000003</v>
      </c>
      <c r="K131" s="25"/>
      <c r="L131" s="25">
        <f t="shared" si="379"/>
        <v>307495</v>
      </c>
      <c r="M131" s="48">
        <f t="shared" si="383"/>
        <v>180381.91844999997</v>
      </c>
      <c r="N131" s="61">
        <f t="shared" si="384"/>
        <v>316879.5559490727</v>
      </c>
      <c r="O131" s="48">
        <f t="shared" si="385"/>
        <v>-357233.56018240598</v>
      </c>
      <c r="P131" s="25">
        <v>345890.25666666665</v>
      </c>
      <c r="Q131" s="25">
        <v>-294834.42333333328</v>
      </c>
      <c r="R131" s="95">
        <f t="shared" si="378"/>
        <v>828776</v>
      </c>
      <c r="S131" s="25">
        <f t="shared" si="386"/>
        <v>97522</v>
      </c>
      <c r="T131" s="25">
        <f t="shared" si="365"/>
        <v>1418522.2143234741</v>
      </c>
      <c r="U131" s="25">
        <f t="shared" si="366"/>
        <v>776443.85114146117</v>
      </c>
      <c r="W131" s="25">
        <f t="shared" si="330"/>
        <v>12182543.640000001</v>
      </c>
      <c r="X131" s="157">
        <f t="shared" si="357"/>
        <v>-6.541310652030187E-2</v>
      </c>
      <c r="Y131" s="25">
        <f t="shared" si="331"/>
        <v>2111234.812812</v>
      </c>
      <c r="AB131"/>
      <c r="AC131"/>
      <c r="AD131"/>
      <c r="AE131"/>
      <c r="AF131"/>
      <c r="AG131"/>
      <c r="AH131"/>
      <c r="AI131"/>
      <c r="AJ131"/>
      <c r="BA131" s="48"/>
      <c r="DC131" s="80" t="s">
        <v>1396</v>
      </c>
      <c r="DI131" s="6"/>
      <c r="DU131" s="55"/>
      <c r="GF131" s="6"/>
      <c r="GH131" s="180"/>
      <c r="GT131" s="185"/>
      <c r="GY131" s="53"/>
      <c r="GZ131" s="182"/>
    </row>
    <row r="132" spans="1:208">
      <c r="A132" s="24">
        <v>34607</v>
      </c>
      <c r="B132" s="48">
        <f t="shared" si="376"/>
        <v>1042891</v>
      </c>
      <c r="C132" s="95">
        <f t="shared" si="377"/>
        <v>109414</v>
      </c>
      <c r="D132" s="25">
        <f t="shared" si="313"/>
        <v>-418849</v>
      </c>
      <c r="E132" s="25">
        <f t="shared" si="380"/>
        <v>-75619.886666666673</v>
      </c>
      <c r="F132" s="48">
        <f t="shared" si="381"/>
        <v>-19658.018783333337</v>
      </c>
      <c r="G132" s="48">
        <f t="shared" si="382"/>
        <v>168884.17150344374</v>
      </c>
      <c r="H132" s="25">
        <f t="shared" si="387"/>
        <v>-907438.64</v>
      </c>
      <c r="I132" s="25">
        <f t="shared" si="367"/>
        <v>281367.85499999998</v>
      </c>
      <c r="J132" s="25">
        <f t="shared" si="368"/>
        <v>-1188806.4950000001</v>
      </c>
      <c r="L132" s="25">
        <f t="shared" si="379"/>
        <v>527293</v>
      </c>
      <c r="M132" s="48">
        <f t="shared" si="383"/>
        <v>188430.62528333333</v>
      </c>
      <c r="N132" s="61">
        <f t="shared" si="384"/>
        <v>318110.32422355411</v>
      </c>
      <c r="O132" s="48">
        <f t="shared" si="385"/>
        <v>-357426.36179022084</v>
      </c>
      <c r="P132" s="25">
        <f t="shared" ref="P132:Q151" si="388">P326</f>
        <v>492158.32341085264</v>
      </c>
      <c r="Q132" s="25">
        <f t="shared" si="388"/>
        <v>-282851.09860465111</v>
      </c>
      <c r="R132" s="95">
        <f t="shared" si="378"/>
        <v>1042891</v>
      </c>
      <c r="S132" s="25">
        <f t="shared" si="386"/>
        <v>214115</v>
      </c>
      <c r="T132" s="25">
        <f t="shared" si="365"/>
        <v>1418522.2143234741</v>
      </c>
      <c r="U132" s="25">
        <f t="shared" si="366"/>
        <v>776443.85114146117</v>
      </c>
      <c r="W132" s="25">
        <f t="shared" si="330"/>
        <v>11964156.85</v>
      </c>
      <c r="X132" s="157">
        <f t="shared" si="357"/>
        <v>-9.9120870561294025E-2</v>
      </c>
      <c r="Y132" s="25">
        <f t="shared" si="331"/>
        <v>2073388.3821050001</v>
      </c>
      <c r="AB132"/>
      <c r="AC132"/>
      <c r="AD132"/>
      <c r="AE132"/>
      <c r="AF132"/>
      <c r="AG132"/>
      <c r="AH132"/>
      <c r="AI132"/>
      <c r="AJ132"/>
      <c r="BA132" s="48"/>
      <c r="DI132" s="6"/>
      <c r="DU132" s="55"/>
      <c r="GF132" s="6"/>
      <c r="GH132" s="180"/>
      <c r="GT132" s="6"/>
      <c r="GY132" s="53"/>
      <c r="GZ132" s="182"/>
    </row>
    <row r="133" spans="1:208">
      <c r="A133" s="24">
        <v>34638</v>
      </c>
      <c r="B133" s="48">
        <f t="shared" si="376"/>
        <v>1013647</v>
      </c>
      <c r="C133" s="95">
        <f t="shared" si="377"/>
        <v>147427</v>
      </c>
      <c r="D133" s="25">
        <f t="shared" si="313"/>
        <v>-161038</v>
      </c>
      <c r="E133" s="25">
        <f t="shared" si="380"/>
        <v>-66953.165833333333</v>
      </c>
      <c r="F133" s="48">
        <f t="shared" si="381"/>
        <v>-20376.587616666671</v>
      </c>
      <c r="G133" s="48">
        <f t="shared" si="382"/>
        <v>168064.38841586703</v>
      </c>
      <c r="H133" s="25">
        <f t="shared" si="387"/>
        <v>-803437.99</v>
      </c>
      <c r="I133" s="25">
        <f t="shared" si="367"/>
        <v>155780.97300000006</v>
      </c>
      <c r="J133" s="25">
        <f t="shared" si="368"/>
        <v>-959218.96299999999</v>
      </c>
      <c r="L133" s="25">
        <f t="shared" si="379"/>
        <v>38013</v>
      </c>
      <c r="M133" s="48">
        <f t="shared" si="383"/>
        <v>187193.07311666664</v>
      </c>
      <c r="N133" s="61">
        <f t="shared" si="384"/>
        <v>315752.18921506737</v>
      </c>
      <c r="O133" s="48">
        <f t="shared" si="385"/>
        <v>-356505.36444840074</v>
      </c>
      <c r="P133" s="25">
        <f t="shared" si="388"/>
        <v>492158.32341085264</v>
      </c>
      <c r="Q133" s="25">
        <f t="shared" si="388"/>
        <v>-282851.09860465111</v>
      </c>
      <c r="R133" s="95">
        <f t="shared" si="378"/>
        <v>1013647</v>
      </c>
      <c r="S133" s="25">
        <f t="shared" si="386"/>
        <v>29244</v>
      </c>
      <c r="T133" s="25">
        <f t="shared" si="365"/>
        <v>1418522.2143234741</v>
      </c>
      <c r="U133" s="25">
        <f t="shared" si="366"/>
        <v>776443.85114146117</v>
      </c>
      <c r="W133" s="25">
        <f t="shared" si="330"/>
        <v>11824944</v>
      </c>
      <c r="X133" s="157">
        <f t="shared" si="357"/>
        <v>-9.512046516169588E-2</v>
      </c>
      <c r="Y133" s="25">
        <f t="shared" si="331"/>
        <v>2049262.7952000001</v>
      </c>
      <c r="AB133"/>
      <c r="AC133"/>
      <c r="AD133"/>
      <c r="AE133"/>
      <c r="AF133"/>
      <c r="AG133"/>
      <c r="AH133"/>
      <c r="AI133"/>
      <c r="AJ133"/>
      <c r="BA133" s="48"/>
      <c r="DI133" s="6"/>
      <c r="DU133" s="55"/>
      <c r="GF133" s="6"/>
      <c r="GH133" s="180"/>
      <c r="GT133"/>
      <c r="GY133" s="53"/>
      <c r="GZ133" s="182"/>
    </row>
    <row r="134" spans="1:208">
      <c r="A134" s="24">
        <v>34668</v>
      </c>
      <c r="B134" s="48">
        <f t="shared" si="376"/>
        <v>1012613</v>
      </c>
      <c r="C134" s="95">
        <f t="shared" si="377"/>
        <v>8520</v>
      </c>
      <c r="D134" s="25">
        <f t="shared" ref="D134:D163" si="389">C134+C133+C132</f>
        <v>265361</v>
      </c>
      <c r="E134" s="25">
        <f t="shared" si="380"/>
        <v>-70413.333333333328</v>
      </c>
      <c r="F134" s="48">
        <f t="shared" si="381"/>
        <v>-20428.959450000006</v>
      </c>
      <c r="G134" s="48">
        <f t="shared" si="382"/>
        <v>168054.72463261132</v>
      </c>
      <c r="H134" s="25">
        <f t="shared" si="387"/>
        <v>-844960</v>
      </c>
      <c r="I134" s="25">
        <f t="shared" si="367"/>
        <v>36242.263000000021</v>
      </c>
      <c r="J134" s="25">
        <f t="shared" si="368"/>
        <v>-881202.26300000004</v>
      </c>
      <c r="K134" s="25"/>
      <c r="L134" s="25">
        <f t="shared" si="379"/>
        <v>138907</v>
      </c>
      <c r="M134" s="48">
        <f t="shared" si="383"/>
        <v>186526.87611666662</v>
      </c>
      <c r="N134" s="61">
        <f t="shared" si="384"/>
        <v>315680.48981522262</v>
      </c>
      <c r="O134" s="48">
        <f t="shared" si="385"/>
        <v>-356538.40871522267</v>
      </c>
      <c r="P134" s="25">
        <f t="shared" si="388"/>
        <v>492158.32341085264</v>
      </c>
      <c r="Q134" s="25">
        <f t="shared" si="388"/>
        <v>-282851.09860465111</v>
      </c>
      <c r="R134" s="95">
        <f t="shared" si="378"/>
        <v>1012613</v>
      </c>
      <c r="S134" s="25">
        <f t="shared" si="386"/>
        <v>1034</v>
      </c>
      <c r="T134" s="25">
        <f t="shared" si="365"/>
        <v>1418522.2143234741</v>
      </c>
      <c r="U134" s="25">
        <f t="shared" si="366"/>
        <v>776443.85114146117</v>
      </c>
      <c r="W134" s="25">
        <f t="shared" si="330"/>
        <v>11625440</v>
      </c>
      <c r="X134" s="157">
        <f t="shared" si="357"/>
        <v>-0.11291481801716048</v>
      </c>
      <c r="Y134" s="25">
        <f t="shared" si="331"/>
        <v>2014688.7520000001</v>
      </c>
      <c r="AB134"/>
      <c r="AC134"/>
      <c r="AD134"/>
      <c r="AE134"/>
      <c r="AF134"/>
      <c r="AG134"/>
      <c r="AH134"/>
      <c r="AI134"/>
      <c r="AJ134"/>
      <c r="BA134" s="48"/>
      <c r="DI134" s="6"/>
      <c r="DU134" s="55"/>
      <c r="GF134" s="6"/>
      <c r="GH134" s="180"/>
      <c r="GT134" s="6"/>
      <c r="GY134" s="53"/>
      <c r="GZ134" s="182"/>
    </row>
    <row r="135" spans="1:208">
      <c r="A135" s="24">
        <v>34699</v>
      </c>
      <c r="B135" s="95">
        <f t="shared" ref="B135:B146" si="390">BT3</f>
        <v>935508</v>
      </c>
      <c r="C135" s="48">
        <f t="shared" ref="C135:C141" si="391">AM3</f>
        <v>214483</v>
      </c>
      <c r="D135" s="25">
        <f t="shared" si="389"/>
        <v>370430</v>
      </c>
      <c r="E135" s="25">
        <f t="shared" si="380"/>
        <v>-59409</v>
      </c>
      <c r="F135" s="48">
        <f t="shared" si="381"/>
        <v>-12225.276116666668</v>
      </c>
      <c r="G135" s="48">
        <f t="shared" si="382"/>
        <v>167293.44455832065</v>
      </c>
      <c r="H135" s="25">
        <f t="shared" si="387"/>
        <v>-712908</v>
      </c>
      <c r="I135" s="25">
        <f t="shared" si="367"/>
        <v>41889.596000000041</v>
      </c>
      <c r="J135" s="25">
        <f t="shared" si="368"/>
        <v>-754797.59600000002</v>
      </c>
      <c r="L135" s="25">
        <f t="shared" si="379"/>
        <v>205963</v>
      </c>
      <c r="M135" s="48">
        <f t="shared" si="383"/>
        <v>185136.25428333328</v>
      </c>
      <c r="N135" s="61">
        <f t="shared" si="384"/>
        <v>322361.61299997463</v>
      </c>
      <c r="O135" s="48">
        <f t="shared" si="385"/>
        <v>-346812.16523330798</v>
      </c>
      <c r="P135" s="25">
        <f t="shared" si="388"/>
        <v>492158.32341085264</v>
      </c>
      <c r="Q135" s="25">
        <f t="shared" si="388"/>
        <v>-282851.09860465111</v>
      </c>
      <c r="R135" s="95">
        <f t="shared" ref="R135:R146" si="392">BT3</f>
        <v>935508</v>
      </c>
      <c r="S135" s="25">
        <f t="shared" si="386"/>
        <v>77105</v>
      </c>
      <c r="T135" s="25">
        <f t="shared" si="365"/>
        <v>1418522.2143234741</v>
      </c>
      <c r="U135" s="25">
        <f t="shared" si="366"/>
        <v>776443.85114146117</v>
      </c>
      <c r="W135" s="25">
        <f t="shared" si="330"/>
        <v>11613534</v>
      </c>
      <c r="X135" s="157">
        <f t="shared" si="357"/>
        <v>-0.10667741061846933</v>
      </c>
      <c r="Y135" s="25">
        <f t="shared" si="331"/>
        <v>2012625.4422000002</v>
      </c>
      <c r="AB135"/>
      <c r="AC135"/>
      <c r="AD135"/>
      <c r="AE135"/>
      <c r="AF135"/>
      <c r="AG135"/>
      <c r="AH135"/>
      <c r="AI135"/>
      <c r="AJ135"/>
      <c r="BA135" s="48"/>
      <c r="DI135" s="6"/>
      <c r="DU135" s="55"/>
      <c r="GF135" s="6"/>
      <c r="GH135" s="180"/>
      <c r="GT135" s="6"/>
      <c r="GY135" s="53"/>
      <c r="GZ135" s="182"/>
    </row>
    <row r="136" spans="1:208">
      <c r="A136" s="24">
        <v>34730</v>
      </c>
      <c r="B136" s="95">
        <f t="shared" si="390"/>
        <v>785719</v>
      </c>
      <c r="C136" s="48">
        <f t="shared" si="391"/>
        <v>-61164</v>
      </c>
      <c r="D136" s="25">
        <f t="shared" si="389"/>
        <v>161839</v>
      </c>
      <c r="E136" s="25">
        <f t="shared" si="380"/>
        <v>-47754.333333333336</v>
      </c>
      <c r="F136" s="48">
        <f t="shared" si="381"/>
        <v>-10655.65395</v>
      </c>
      <c r="G136" s="48">
        <f t="shared" si="382"/>
        <v>166367.14911275904</v>
      </c>
      <c r="H136" s="25">
        <f t="shared" si="387"/>
        <v>-573052</v>
      </c>
      <c r="I136" s="25">
        <f t="shared" si="367"/>
        <v>-166656.22499999995</v>
      </c>
      <c r="J136" s="25">
        <f t="shared" si="368"/>
        <v>-406395.77500000002</v>
      </c>
      <c r="K136" s="25">
        <f>AVERAGE(C134+C135+C136)</f>
        <v>161839</v>
      </c>
      <c r="L136" s="25">
        <f t="shared" si="379"/>
        <v>275647</v>
      </c>
      <c r="M136" s="48">
        <f t="shared" si="383"/>
        <v>187690.42645</v>
      </c>
      <c r="N136" s="61">
        <f t="shared" si="384"/>
        <v>322078.64427551808</v>
      </c>
      <c r="O136" s="48">
        <f t="shared" si="385"/>
        <v>-343389.95217551809</v>
      </c>
      <c r="P136" s="25">
        <f t="shared" si="388"/>
        <v>492158.32341085264</v>
      </c>
      <c r="Q136" s="25">
        <f t="shared" si="388"/>
        <v>-282851.09860465111</v>
      </c>
      <c r="R136" s="95">
        <f t="shared" si="392"/>
        <v>785719</v>
      </c>
      <c r="S136" s="25">
        <f t="shared" si="386"/>
        <v>149789</v>
      </c>
      <c r="T136" s="25">
        <f t="shared" si="365"/>
        <v>1418522.2143234741</v>
      </c>
      <c r="U136" s="25">
        <f t="shared" si="366"/>
        <v>776443.85114146117</v>
      </c>
      <c r="W136" s="25">
        <f t="shared" si="330"/>
        <v>11537554</v>
      </c>
      <c r="X136" s="157">
        <f t="shared" si="357"/>
        <v>-9.8483554544430349E-2</v>
      </c>
      <c r="Y136" s="25">
        <f t="shared" si="331"/>
        <v>1999458.1082000001</v>
      </c>
      <c r="AB136"/>
      <c r="AC136"/>
      <c r="AD136"/>
      <c r="AE136"/>
      <c r="AF136"/>
      <c r="AG136"/>
      <c r="AH136"/>
      <c r="AI136"/>
      <c r="AJ136"/>
      <c r="BA136" s="48"/>
      <c r="DI136" s="6"/>
      <c r="DU136" s="55"/>
      <c r="GF136" s="6"/>
      <c r="GH136" s="180"/>
      <c r="GJ136"/>
      <c r="GK136"/>
      <c r="GT136" s="6"/>
      <c r="GY136" s="53"/>
      <c r="GZ136" s="182"/>
    </row>
    <row r="137" spans="1:208">
      <c r="A137" s="24">
        <v>34758</v>
      </c>
      <c r="B137" s="95">
        <f t="shared" si="390"/>
        <v>1218188</v>
      </c>
      <c r="C137" s="48">
        <f t="shared" si="391"/>
        <v>253193</v>
      </c>
      <c r="D137" s="25">
        <f t="shared" si="389"/>
        <v>406512</v>
      </c>
      <c r="E137" s="25">
        <f t="shared" si="380"/>
        <v>-14374.75</v>
      </c>
      <c r="F137" s="48">
        <f t="shared" si="381"/>
        <v>-8144.4706166666665</v>
      </c>
      <c r="G137" s="48">
        <f t="shared" si="382"/>
        <v>169217.15254766765</v>
      </c>
      <c r="H137" s="25">
        <f t="shared" si="387"/>
        <v>-172497</v>
      </c>
      <c r="I137" s="25">
        <f t="shared" si="367"/>
        <v>-313981.88500000001</v>
      </c>
      <c r="J137" s="25">
        <f t="shared" si="368"/>
        <v>141484.88500000001</v>
      </c>
      <c r="K137" s="25"/>
      <c r="L137" s="25">
        <f t="shared" si="379"/>
        <v>314357</v>
      </c>
      <c r="M137" s="48">
        <f t="shared" si="383"/>
        <v>188631.98761666668</v>
      </c>
      <c r="N137" s="61">
        <f t="shared" si="384"/>
        <v>330289.83447866864</v>
      </c>
      <c r="O137" s="48">
        <f t="shared" si="385"/>
        <v>-346578.77571200195</v>
      </c>
      <c r="P137" s="25">
        <f t="shared" si="388"/>
        <v>492158.32341085264</v>
      </c>
      <c r="Q137" s="25">
        <f t="shared" si="388"/>
        <v>-282851.09860465111</v>
      </c>
      <c r="R137" s="95">
        <f t="shared" si="392"/>
        <v>1218188</v>
      </c>
      <c r="S137" s="25">
        <f t="shared" si="386"/>
        <v>432469</v>
      </c>
      <c r="T137" s="25">
        <f t="shared" ref="T137:T202" si="393">$R$317+1.88*$S$317</f>
        <v>1418522.2143234741</v>
      </c>
      <c r="U137" s="25">
        <f t="shared" ref="U137:U202" si="394">$R$317-1.88*$S$317</f>
        <v>776443.85114146117</v>
      </c>
      <c r="W137" s="25">
        <f t="shared" si="330"/>
        <v>11639972</v>
      </c>
      <c r="X137" s="157">
        <f t="shared" si="357"/>
        <v>-9.6375806008907647E-2</v>
      </c>
      <c r="Y137" s="25">
        <f t="shared" si="331"/>
        <v>2017207.1476</v>
      </c>
      <c r="AB137"/>
      <c r="AC137"/>
      <c r="AD137"/>
      <c r="AE137"/>
      <c r="AF137"/>
      <c r="AG137"/>
      <c r="AH137"/>
      <c r="AI137"/>
      <c r="AJ137"/>
      <c r="BA137" s="48"/>
      <c r="DI137" s="6"/>
      <c r="DU137" s="55"/>
      <c r="GF137" s="6"/>
      <c r="GH137" s="180"/>
      <c r="GT137" s="6"/>
      <c r="GY137" s="53"/>
      <c r="GZ137" s="182"/>
    </row>
    <row r="138" spans="1:208">
      <c r="A138" s="24">
        <v>34789</v>
      </c>
      <c r="B138" s="95">
        <f t="shared" si="390"/>
        <v>942406</v>
      </c>
      <c r="C138" s="48">
        <f t="shared" si="391"/>
        <v>51239</v>
      </c>
      <c r="D138" s="25">
        <f t="shared" si="389"/>
        <v>243268</v>
      </c>
      <c r="E138" s="25">
        <f t="shared" si="380"/>
        <v>-7168.833333333333</v>
      </c>
      <c r="F138" s="48">
        <f t="shared" si="381"/>
        <v>-6699.6039500000034</v>
      </c>
      <c r="G138" s="48">
        <f t="shared" si="382"/>
        <v>169350.08473015</v>
      </c>
      <c r="H138" s="25">
        <f t="shared" si="387"/>
        <v>-86026</v>
      </c>
      <c r="I138" s="25">
        <f t="shared" si="367"/>
        <v>-130832.35199999996</v>
      </c>
      <c r="J138" s="25">
        <f t="shared" si="368"/>
        <v>44806.351999999955</v>
      </c>
      <c r="K138" s="25"/>
      <c r="L138" s="25">
        <f t="shared" si="379"/>
        <v>201954</v>
      </c>
      <c r="M138" s="48">
        <f t="shared" si="383"/>
        <v>189698.30428333336</v>
      </c>
      <c r="N138" s="61">
        <f t="shared" si="384"/>
        <v>332000.56551029999</v>
      </c>
      <c r="O138" s="48">
        <f t="shared" si="385"/>
        <v>-345399.77341030003</v>
      </c>
      <c r="P138" s="25">
        <f t="shared" si="388"/>
        <v>492158.32341085264</v>
      </c>
      <c r="Q138" s="25">
        <f t="shared" si="388"/>
        <v>-282851.09860465111</v>
      </c>
      <c r="R138" s="95">
        <f t="shared" si="392"/>
        <v>942406</v>
      </c>
      <c r="S138" s="25">
        <f t="shared" si="386"/>
        <v>275782</v>
      </c>
      <c r="T138" s="25">
        <f t="shared" si="393"/>
        <v>1418522.2143234741</v>
      </c>
      <c r="U138" s="25">
        <f t="shared" si="394"/>
        <v>776443.85114146117</v>
      </c>
      <c r="W138" s="25">
        <f t="shared" si="330"/>
        <v>11636886</v>
      </c>
      <c r="X138" s="157">
        <f t="shared" si="357"/>
        <v>-0.10274156037269569</v>
      </c>
      <c r="Y138" s="25">
        <f t="shared" si="331"/>
        <v>2016672.3438000001</v>
      </c>
      <c r="AB138"/>
      <c r="AC138"/>
      <c r="AD138"/>
      <c r="AE138"/>
      <c r="AF138"/>
      <c r="AG138"/>
      <c r="AH138"/>
      <c r="AI138"/>
      <c r="AJ138"/>
      <c r="BA138" s="48"/>
      <c r="DI138" s="6"/>
      <c r="DU138" s="55"/>
      <c r="GF138" s="6"/>
      <c r="GH138" s="180"/>
      <c r="GT138" s="6"/>
      <c r="GY138" s="53"/>
      <c r="GZ138" s="182"/>
    </row>
    <row r="139" spans="1:208">
      <c r="A139" s="24">
        <v>34819</v>
      </c>
      <c r="B139" s="95">
        <f t="shared" si="390"/>
        <v>1033703</v>
      </c>
      <c r="C139" s="48">
        <f t="shared" si="391"/>
        <v>149035</v>
      </c>
      <c r="D139" s="25">
        <f t="shared" si="389"/>
        <v>453467</v>
      </c>
      <c r="E139" s="25">
        <f t="shared" si="380"/>
        <v>25528.166666666668</v>
      </c>
      <c r="F139" s="48">
        <f t="shared" si="381"/>
        <v>-1441.0294499999998</v>
      </c>
      <c r="G139" s="48">
        <f t="shared" si="382"/>
        <v>169203.12362458179</v>
      </c>
      <c r="H139" s="25">
        <f t="shared" si="387"/>
        <v>306338</v>
      </c>
      <c r="I139" s="25">
        <f t="shared" si="367"/>
        <v>-423834.46299999993</v>
      </c>
      <c r="J139" s="25">
        <f t="shared" si="368"/>
        <v>730172.46299999999</v>
      </c>
      <c r="K139" s="25"/>
      <c r="L139" s="25">
        <f t="shared" si="379"/>
        <v>97796</v>
      </c>
      <c r="M139" s="48">
        <f t="shared" si="383"/>
        <v>189144.46311666668</v>
      </c>
      <c r="N139" s="61">
        <f t="shared" si="384"/>
        <v>336965.2177991636</v>
      </c>
      <c r="O139" s="48">
        <f t="shared" si="385"/>
        <v>-339847.27669916354</v>
      </c>
      <c r="P139" s="25">
        <f t="shared" si="388"/>
        <v>492158.32341085264</v>
      </c>
      <c r="Q139" s="25">
        <f t="shared" si="388"/>
        <v>-282851.09860465111</v>
      </c>
      <c r="R139" s="95">
        <f t="shared" si="392"/>
        <v>1033703</v>
      </c>
      <c r="S139" s="25">
        <f t="shared" si="386"/>
        <v>91297</v>
      </c>
      <c r="T139" s="25">
        <f t="shared" si="393"/>
        <v>1418522.2143234741</v>
      </c>
      <c r="U139" s="25">
        <f t="shared" si="394"/>
        <v>776443.85114146117</v>
      </c>
      <c r="W139" s="25">
        <f t="shared" si="330"/>
        <v>11784803</v>
      </c>
      <c r="X139" s="157">
        <f t="shared" si="357"/>
        <v>-7.7444266126092065E-2</v>
      </c>
      <c r="Y139" s="25">
        <f t="shared" si="331"/>
        <v>2042306.3599</v>
      </c>
      <c r="AB139"/>
      <c r="AC139"/>
      <c r="AD139"/>
      <c r="AE139"/>
      <c r="AF139"/>
      <c r="AG139"/>
      <c r="AH139"/>
      <c r="AI139"/>
      <c r="AJ139"/>
      <c r="BA139" s="48"/>
      <c r="DI139" s="6"/>
      <c r="DU139" s="55"/>
      <c r="GF139" s="6"/>
      <c r="GH139" s="180"/>
      <c r="GT139" s="6"/>
      <c r="GY139" s="53"/>
      <c r="GZ139" s="182"/>
    </row>
    <row r="140" spans="1:208">
      <c r="A140" s="24">
        <v>34850</v>
      </c>
      <c r="B140" s="95">
        <f t="shared" si="390"/>
        <v>929225</v>
      </c>
      <c r="C140" s="48">
        <f t="shared" si="391"/>
        <v>43197</v>
      </c>
      <c r="D140" s="25">
        <f t="shared" si="389"/>
        <v>243471</v>
      </c>
      <c r="E140" s="25">
        <f t="shared" si="380"/>
        <v>29308.916666666668</v>
      </c>
      <c r="F140" s="48">
        <f t="shared" si="381"/>
        <v>-6267.3407833333358</v>
      </c>
      <c r="G140" s="48">
        <f t="shared" si="382"/>
        <v>163543.715896612</v>
      </c>
      <c r="H140" s="25">
        <f t="shared" si="387"/>
        <v>351707</v>
      </c>
      <c r="I140" s="25">
        <f t="shared" si="367"/>
        <v>-265273.75</v>
      </c>
      <c r="J140" s="25">
        <f t="shared" si="368"/>
        <v>616980.75</v>
      </c>
      <c r="K140" s="25"/>
      <c r="L140" s="25">
        <f t="shared" si="379"/>
        <v>105838</v>
      </c>
      <c r="M140" s="48">
        <f t="shared" si="383"/>
        <v>182587.51061666667</v>
      </c>
      <c r="N140" s="61">
        <f t="shared" si="384"/>
        <v>320820.09100989066</v>
      </c>
      <c r="O140" s="48">
        <f t="shared" si="385"/>
        <v>-333354.77257655736</v>
      </c>
      <c r="P140" s="25">
        <f t="shared" si="388"/>
        <v>492158.32341085264</v>
      </c>
      <c r="Q140" s="25">
        <f t="shared" si="388"/>
        <v>-282851.09860465111</v>
      </c>
      <c r="R140" s="95">
        <f t="shared" si="392"/>
        <v>929225</v>
      </c>
      <c r="S140" s="25">
        <f t="shared" si="386"/>
        <v>104478</v>
      </c>
      <c r="T140" s="25">
        <f t="shared" si="393"/>
        <v>1418522.2143234741</v>
      </c>
      <c r="U140" s="25">
        <f t="shared" si="394"/>
        <v>776443.85114146117</v>
      </c>
      <c r="W140" s="25">
        <f t="shared" si="330"/>
        <v>11667728</v>
      </c>
      <c r="X140" s="157">
        <f t="shared" si="357"/>
        <v>-9.348122830243584E-2</v>
      </c>
      <c r="Y140" s="25">
        <f t="shared" si="331"/>
        <v>2022017.2624000001</v>
      </c>
      <c r="AB140"/>
      <c r="AC140"/>
      <c r="AD140"/>
      <c r="AE140" s="25"/>
      <c r="AF140" s="25"/>
      <c r="AG140" s="48"/>
      <c r="AH140"/>
      <c r="AJ140" s="48"/>
      <c r="BA140" s="48"/>
      <c r="DI140" s="6"/>
      <c r="DU140" s="55"/>
      <c r="GF140" s="6"/>
      <c r="GH140" s="180"/>
      <c r="GT140" s="6"/>
      <c r="GY140" s="53"/>
      <c r="GZ140" s="182"/>
    </row>
    <row r="141" spans="1:208">
      <c r="A141" s="24">
        <v>34880</v>
      </c>
      <c r="B141" s="95">
        <f t="shared" si="390"/>
        <v>1012575</v>
      </c>
      <c r="C141" s="48">
        <f t="shared" si="391"/>
        <v>180995</v>
      </c>
      <c r="D141" s="25">
        <f t="shared" si="389"/>
        <v>373227</v>
      </c>
      <c r="E141" s="25">
        <f t="shared" ref="E141:E146" si="395">AVERAGE(C130:C141)</f>
        <v>47339.666666666664</v>
      </c>
      <c r="F141" s="48">
        <f t="shared" si="381"/>
        <v>-1291.7574500000026</v>
      </c>
      <c r="G141" s="48">
        <f t="shared" si="382"/>
        <v>164638.61129209178</v>
      </c>
      <c r="H141" s="25">
        <f t="shared" ref="H141:H146" si="396">SUM(C130:C141)</f>
        <v>568076</v>
      </c>
      <c r="I141" s="25">
        <f t="shared" si="367"/>
        <v>-205728.62900000002</v>
      </c>
      <c r="J141" s="25">
        <f t="shared" si="368"/>
        <v>773804.62899999996</v>
      </c>
      <c r="K141" s="25"/>
      <c r="L141" s="25">
        <f t="shared" ref="L141:L146" si="397">((C140-C141)^2)^0.5</f>
        <v>137798</v>
      </c>
      <c r="M141" s="48">
        <f t="shared" si="383"/>
        <v>177378.8826166667</v>
      </c>
      <c r="N141" s="61">
        <f t="shared" si="384"/>
        <v>327985.46513418359</v>
      </c>
      <c r="O141" s="48">
        <f t="shared" si="385"/>
        <v>-330568.98003418354</v>
      </c>
      <c r="P141" s="25">
        <f t="shared" si="388"/>
        <v>492158.32341085264</v>
      </c>
      <c r="Q141" s="25">
        <f t="shared" si="388"/>
        <v>-282851.09860465111</v>
      </c>
      <c r="R141" s="95">
        <f t="shared" si="392"/>
        <v>1012575</v>
      </c>
      <c r="S141" s="25">
        <f t="shared" ref="S141:S147" si="398">IF(R141&gt;0,ABS(R140-R141)," ")</f>
        <v>83350</v>
      </c>
      <c r="T141" s="25">
        <f t="shared" si="393"/>
        <v>1418522.2143234741</v>
      </c>
      <c r="U141" s="25">
        <f t="shared" si="394"/>
        <v>776443.85114146117</v>
      </c>
      <c r="W141" s="25">
        <f t="shared" si="330"/>
        <v>11681549</v>
      </c>
      <c r="X141" s="157">
        <f t="shared" si="357"/>
        <v>-8.117766920246218E-2</v>
      </c>
      <c r="Y141" s="25">
        <f t="shared" si="331"/>
        <v>2024412.4417000001</v>
      </c>
      <c r="AB141"/>
      <c r="AC141"/>
      <c r="AD141"/>
      <c r="AH141"/>
      <c r="BA141" s="48"/>
      <c r="DI141" s="6"/>
      <c r="DU141" s="55"/>
      <c r="GF141" s="6"/>
      <c r="GH141" s="180"/>
      <c r="GT141" s="6"/>
      <c r="GY141" s="53"/>
      <c r="GZ141" s="182"/>
    </row>
    <row r="142" spans="1:208">
      <c r="A142" s="24">
        <v>34911</v>
      </c>
      <c r="B142" s="95">
        <f t="shared" si="390"/>
        <v>922523</v>
      </c>
      <c r="C142" s="48">
        <f>AM10</f>
        <v>87008</v>
      </c>
      <c r="D142" s="25">
        <f t="shared" si="389"/>
        <v>311200</v>
      </c>
      <c r="E142" s="25">
        <f t="shared" si="395"/>
        <v>63789</v>
      </c>
      <c r="F142" s="48">
        <f t="shared" si="381"/>
        <v>-2177.7574500000028</v>
      </c>
      <c r="G142" s="48">
        <f t="shared" si="382"/>
        <v>164006.27064236774</v>
      </c>
      <c r="H142" s="25">
        <f t="shared" si="396"/>
        <v>765468</v>
      </c>
      <c r="I142" s="25">
        <f t="shared" ref="I142:I147" si="399">H130</f>
        <v>-345912.25299999997</v>
      </c>
      <c r="J142" s="25">
        <f t="shared" ref="J142:J147" si="400">H142-I142</f>
        <v>1111380.253</v>
      </c>
      <c r="K142" s="25"/>
      <c r="L142" s="25">
        <f t="shared" si="397"/>
        <v>93987</v>
      </c>
      <c r="M142" s="48">
        <f t="shared" si="383"/>
        <v>174650.19928333338</v>
      </c>
      <c r="N142" s="61">
        <f t="shared" si="384"/>
        <v>325834.78383473551</v>
      </c>
      <c r="O142" s="48">
        <f t="shared" si="385"/>
        <v>-330190.29873473546</v>
      </c>
      <c r="P142" s="25">
        <f t="shared" si="388"/>
        <v>492158.32341085264</v>
      </c>
      <c r="Q142" s="25">
        <f t="shared" si="388"/>
        <v>-282851.09860465111</v>
      </c>
      <c r="R142" s="95">
        <f t="shared" si="392"/>
        <v>922523</v>
      </c>
      <c r="S142" s="25">
        <f t="shared" si="398"/>
        <v>90052</v>
      </c>
      <c r="T142" s="25">
        <f t="shared" si="393"/>
        <v>1418522.2143234741</v>
      </c>
      <c r="U142" s="25">
        <f t="shared" si="394"/>
        <v>776443.85114146117</v>
      </c>
      <c r="W142" s="25">
        <f t="shared" si="330"/>
        <v>11677774</v>
      </c>
      <c r="X142" s="157">
        <f t="shared" si="357"/>
        <v>-7.2165037572100091E-2</v>
      </c>
      <c r="Y142" s="25">
        <f t="shared" si="331"/>
        <v>2023758.2342000001</v>
      </c>
      <c r="AC142"/>
      <c r="AD142" s="5"/>
      <c r="BA142" s="48"/>
      <c r="DI142" s="6"/>
      <c r="DU142" s="55"/>
      <c r="GF142" s="6"/>
      <c r="GH142" s="180"/>
      <c r="GT142" s="6"/>
      <c r="GY142" s="53"/>
      <c r="GZ142" s="182"/>
    </row>
    <row r="143" spans="1:208">
      <c r="A143" s="24">
        <v>34942</v>
      </c>
      <c r="B143" s="95">
        <f t="shared" si="390"/>
        <v>1064149</v>
      </c>
      <c r="C143" s="48">
        <f>AM11</f>
        <v>166292</v>
      </c>
      <c r="D143" s="25">
        <f t="shared" si="389"/>
        <v>434295</v>
      </c>
      <c r="E143" s="25">
        <f t="shared" si="395"/>
        <v>112469.91666666667</v>
      </c>
      <c r="F143" s="48">
        <f t="shared" si="381"/>
        <v>-3039.7241166666695</v>
      </c>
      <c r="G143" s="48">
        <f t="shared" si="382"/>
        <v>162961.99948242962</v>
      </c>
      <c r="H143" s="25">
        <f t="shared" si="396"/>
        <v>1349639</v>
      </c>
      <c r="I143" s="25">
        <f t="shared" si="399"/>
        <v>-832874.147</v>
      </c>
      <c r="J143" s="25">
        <f t="shared" si="400"/>
        <v>2182513.1469999999</v>
      </c>
      <c r="K143" s="25"/>
      <c r="L143" s="25">
        <f t="shared" si="397"/>
        <v>79284</v>
      </c>
      <c r="M143" s="48">
        <f t="shared" si="383"/>
        <v>174674.2326166667</v>
      </c>
      <c r="N143" s="61">
        <f t="shared" si="384"/>
        <v>322884.27484819258</v>
      </c>
      <c r="O143" s="48">
        <f t="shared" si="385"/>
        <v>-328963.72308152588</v>
      </c>
      <c r="P143" s="25">
        <f t="shared" si="388"/>
        <v>492158.32341085264</v>
      </c>
      <c r="Q143" s="25">
        <f t="shared" si="388"/>
        <v>-282851.09860465111</v>
      </c>
      <c r="R143" s="95">
        <f t="shared" si="392"/>
        <v>1064149</v>
      </c>
      <c r="S143" s="25">
        <f t="shared" si="398"/>
        <v>141626</v>
      </c>
      <c r="T143" s="25">
        <f t="shared" si="393"/>
        <v>1418522.2143234741</v>
      </c>
      <c r="U143" s="25">
        <f t="shared" si="394"/>
        <v>776443.85114146117</v>
      </c>
      <c r="W143" s="25">
        <f t="shared" si="330"/>
        <v>11913147</v>
      </c>
      <c r="X143" s="157">
        <f t="shared" si="357"/>
        <v>-2.211333264717126E-2</v>
      </c>
      <c r="Y143" s="25">
        <f t="shared" si="331"/>
        <v>2064548.3751000001</v>
      </c>
      <c r="AC143"/>
      <c r="BA143" s="48"/>
      <c r="DI143" s="6"/>
      <c r="DU143" s="55"/>
      <c r="GF143" s="6"/>
      <c r="GH143" s="180"/>
      <c r="GT143" s="6"/>
      <c r="GY143" s="53"/>
      <c r="GZ143" s="182"/>
    </row>
    <row r="144" spans="1:208">
      <c r="A144" s="24">
        <v>34972</v>
      </c>
      <c r="B144" s="95">
        <f t="shared" si="390"/>
        <v>857407</v>
      </c>
      <c r="C144" s="48">
        <f>AM12</f>
        <v>-64578</v>
      </c>
      <c r="D144" s="25">
        <f t="shared" si="389"/>
        <v>188722</v>
      </c>
      <c r="E144" s="25">
        <f t="shared" si="395"/>
        <v>97970.583333333328</v>
      </c>
      <c r="F144" s="48">
        <f t="shared" si="381"/>
        <v>-6285.5407833333356</v>
      </c>
      <c r="G144" s="48">
        <f t="shared" si="382"/>
        <v>162201.48205515105</v>
      </c>
      <c r="H144" s="25">
        <f t="shared" si="396"/>
        <v>1175647</v>
      </c>
      <c r="I144" s="25">
        <f t="shared" si="399"/>
        <v>-907438.64</v>
      </c>
      <c r="J144" s="25">
        <f t="shared" si="400"/>
        <v>2083085.6400000001</v>
      </c>
      <c r="K144" s="25"/>
      <c r="L144" s="25">
        <f t="shared" si="397"/>
        <v>230870</v>
      </c>
      <c r="M144" s="48">
        <f t="shared" si="383"/>
        <v>177058.08261666671</v>
      </c>
      <c r="N144" s="61">
        <f t="shared" si="384"/>
        <v>318117.42332696874</v>
      </c>
      <c r="O144" s="48">
        <f t="shared" si="385"/>
        <v>-330688.50489363546</v>
      </c>
      <c r="P144" s="25">
        <f t="shared" si="388"/>
        <v>492158.32341085264</v>
      </c>
      <c r="Q144" s="25">
        <f t="shared" si="388"/>
        <v>-282851.09860465111</v>
      </c>
      <c r="R144" s="95">
        <f t="shared" si="392"/>
        <v>857407</v>
      </c>
      <c r="S144" s="25">
        <f t="shared" si="398"/>
        <v>206742</v>
      </c>
      <c r="T144" s="25">
        <f t="shared" si="393"/>
        <v>1418522.2143234741</v>
      </c>
      <c r="U144" s="25">
        <f t="shared" si="394"/>
        <v>776443.85114146117</v>
      </c>
      <c r="W144" s="25">
        <f t="shared" ref="W144:W154" si="401">SUM(R133:R144)</f>
        <v>11727663</v>
      </c>
      <c r="X144" s="157">
        <f t="shared" si="357"/>
        <v>-1.9766863053120174E-2</v>
      </c>
      <c r="Y144" s="25">
        <f t="shared" ref="Y144:Y207" si="402">W144*0.1733</f>
        <v>2032403.9979000001</v>
      </c>
      <c r="AB144"/>
      <c r="AC144"/>
      <c r="AD144"/>
      <c r="BA144" s="48"/>
      <c r="DI144" s="6"/>
      <c r="DU144" s="55"/>
      <c r="GF144" s="6"/>
      <c r="GH144" s="180"/>
      <c r="GT144" s="6"/>
      <c r="GY144" s="53"/>
      <c r="GZ144" s="182"/>
    </row>
    <row r="145" spans="1:208">
      <c r="A145" s="24">
        <v>35003</v>
      </c>
      <c r="B145" s="95">
        <f t="shared" si="390"/>
        <v>1057871</v>
      </c>
      <c r="C145" s="48">
        <f>AM13</f>
        <v>112491</v>
      </c>
      <c r="D145" s="25">
        <f t="shared" si="389"/>
        <v>214205</v>
      </c>
      <c r="E145" s="25">
        <f t="shared" si="395"/>
        <v>95059.25</v>
      </c>
      <c r="F145" s="48">
        <f t="shared" si="381"/>
        <v>-9222.7241166666608</v>
      </c>
      <c r="G145" s="48">
        <f t="shared" si="382"/>
        <v>158317.99799383443</v>
      </c>
      <c r="H145" s="25">
        <f t="shared" si="396"/>
        <v>1140711</v>
      </c>
      <c r="I145" s="25">
        <f t="shared" si="399"/>
        <v>-803437.99</v>
      </c>
      <c r="J145" s="25">
        <f t="shared" si="400"/>
        <v>1944148.99</v>
      </c>
      <c r="K145" s="25"/>
      <c r="L145" s="25">
        <f t="shared" si="397"/>
        <v>177069</v>
      </c>
      <c r="M145" s="48">
        <f t="shared" si="383"/>
        <v>177366.71595000004</v>
      </c>
      <c r="N145" s="61">
        <f t="shared" si="384"/>
        <v>307413.27187100222</v>
      </c>
      <c r="O145" s="48">
        <f t="shared" si="385"/>
        <v>-325858.72010433552</v>
      </c>
      <c r="P145" s="25">
        <f t="shared" si="388"/>
        <v>492158.32341085264</v>
      </c>
      <c r="Q145" s="25">
        <f t="shared" si="388"/>
        <v>-282851.09860465111</v>
      </c>
      <c r="R145" s="95">
        <f t="shared" si="392"/>
        <v>1057871</v>
      </c>
      <c r="S145" s="25">
        <f t="shared" si="398"/>
        <v>200464</v>
      </c>
      <c r="T145" s="25">
        <f t="shared" si="393"/>
        <v>1418522.2143234741</v>
      </c>
      <c r="U145" s="25">
        <f t="shared" si="394"/>
        <v>776443.85114146117</v>
      </c>
      <c r="W145" s="25">
        <f t="shared" si="401"/>
        <v>11771887</v>
      </c>
      <c r="X145" s="157">
        <f t="shared" si="357"/>
        <v>-4.4868711428992817E-3</v>
      </c>
      <c r="Y145" s="25">
        <f t="shared" si="402"/>
        <v>2040068.0171000001</v>
      </c>
      <c r="AC145"/>
      <c r="BA145" s="48"/>
      <c r="DI145" s="6"/>
      <c r="DU145" s="55"/>
      <c r="GF145" s="6"/>
      <c r="GH145" s="180"/>
      <c r="GT145" s="6"/>
      <c r="GY145" s="53"/>
      <c r="GZ145" s="182"/>
    </row>
    <row r="146" spans="1:208">
      <c r="A146" s="563">
        <v>35033</v>
      </c>
      <c r="B146" s="626">
        <f t="shared" si="390"/>
        <v>1180180</v>
      </c>
      <c r="C146" s="565">
        <f>AM14</f>
        <v>-10286</v>
      </c>
      <c r="D146" s="121">
        <f t="shared" si="389"/>
        <v>37627</v>
      </c>
      <c r="E146" s="121">
        <f t="shared" si="395"/>
        <v>93492.083333333328</v>
      </c>
      <c r="F146" s="48">
        <f t="shared" si="381"/>
        <v>-9262.9241166666616</v>
      </c>
      <c r="G146" s="48">
        <f t="shared" si="382"/>
        <v>158317.95594888923</v>
      </c>
      <c r="H146" s="121">
        <f t="shared" si="396"/>
        <v>1121905</v>
      </c>
      <c r="I146" s="121">
        <f t="shared" si="399"/>
        <v>-844960</v>
      </c>
      <c r="J146" s="121">
        <f t="shared" si="400"/>
        <v>1966865</v>
      </c>
      <c r="K146" s="121"/>
      <c r="L146" s="121">
        <f t="shared" si="397"/>
        <v>122777</v>
      </c>
      <c r="M146" s="48">
        <f t="shared" si="383"/>
        <v>174469.7326166667</v>
      </c>
      <c r="N146" s="61">
        <f t="shared" si="384"/>
        <v>307372.98778111179</v>
      </c>
      <c r="O146" s="48">
        <f t="shared" si="385"/>
        <v>-325898.83601444511</v>
      </c>
      <c r="P146" s="121">
        <f t="shared" si="388"/>
        <v>492158.32341085264</v>
      </c>
      <c r="Q146" s="121">
        <f t="shared" si="388"/>
        <v>-282851.09860465111</v>
      </c>
      <c r="R146" s="626">
        <f t="shared" si="392"/>
        <v>1180180</v>
      </c>
      <c r="S146" s="121">
        <f t="shared" si="398"/>
        <v>122309</v>
      </c>
      <c r="T146" s="121">
        <f t="shared" si="393"/>
        <v>1418522.2143234741</v>
      </c>
      <c r="U146" s="121">
        <f t="shared" si="394"/>
        <v>776443.85114146117</v>
      </c>
      <c r="V146" s="52"/>
      <c r="W146" s="121">
        <f t="shared" si="401"/>
        <v>11939454</v>
      </c>
      <c r="X146" s="567">
        <f t="shared" si="357"/>
        <v>2.7010934639893201E-2</v>
      </c>
      <c r="Y146" s="25">
        <f t="shared" si="402"/>
        <v>2069107.3782000002</v>
      </c>
      <c r="AC146"/>
      <c r="BA146" s="48"/>
      <c r="DI146" s="6"/>
      <c r="DU146" s="55"/>
      <c r="GF146" s="6"/>
      <c r="GH146" s="180"/>
      <c r="GT146" s="6"/>
      <c r="GY146" s="53"/>
      <c r="GZ146" s="182"/>
    </row>
    <row r="147" spans="1:208">
      <c r="A147" s="24">
        <v>35064</v>
      </c>
      <c r="B147" s="95">
        <f t="shared" ref="B147:B158" si="403">BU3</f>
        <v>909246</v>
      </c>
      <c r="C147" s="48">
        <f t="shared" ref="C147:C152" si="404">AN3</f>
        <v>87291</v>
      </c>
      <c r="D147" s="25">
        <f t="shared" si="389"/>
        <v>189496</v>
      </c>
      <c r="E147" s="25">
        <f t="shared" ref="E147:E152" si="405">AVERAGE(C136:C147)</f>
        <v>82892.75</v>
      </c>
      <c r="F147" s="48">
        <f t="shared" si="381"/>
        <v>-3060.7305500000057</v>
      </c>
      <c r="G147" s="48">
        <f t="shared" si="382"/>
        <v>154584.27026414633</v>
      </c>
      <c r="H147" s="25">
        <f t="shared" ref="H147:H152" si="406">SUM(C136:C147)</f>
        <v>994713</v>
      </c>
      <c r="I147" s="25">
        <f t="shared" si="399"/>
        <v>-712908</v>
      </c>
      <c r="J147" s="25">
        <f t="shared" si="400"/>
        <v>1707621</v>
      </c>
      <c r="K147" s="25"/>
      <c r="L147" s="25">
        <f t="shared" ref="L147:L152" si="407">((C146-C147)^2)^0.5</f>
        <v>97577</v>
      </c>
      <c r="M147" s="48">
        <f t="shared" si="383"/>
        <v>173498.43258333337</v>
      </c>
      <c r="N147" s="61">
        <f t="shared" si="384"/>
        <v>306107.80997829267</v>
      </c>
      <c r="O147" s="48">
        <f t="shared" si="385"/>
        <v>-312229.27107829263</v>
      </c>
      <c r="P147" s="25">
        <f t="shared" si="388"/>
        <v>492158.32341085264</v>
      </c>
      <c r="Q147" s="25">
        <f t="shared" si="388"/>
        <v>-282851.09860465111</v>
      </c>
      <c r="R147" s="95">
        <f t="shared" ref="R147:R158" si="408">BU3</f>
        <v>909246</v>
      </c>
      <c r="S147" s="25">
        <f t="shared" si="398"/>
        <v>270934</v>
      </c>
      <c r="T147" s="25">
        <f t="shared" si="393"/>
        <v>1418522.2143234741</v>
      </c>
      <c r="U147" s="25">
        <f t="shared" si="394"/>
        <v>776443.85114146117</v>
      </c>
      <c r="W147" s="25">
        <f t="shared" si="401"/>
        <v>11913192</v>
      </c>
      <c r="X147" s="157">
        <f t="shared" si="357"/>
        <v>2.5802481828528682E-2</v>
      </c>
      <c r="Y147" s="25">
        <f t="shared" si="402"/>
        <v>2064556.1736000001</v>
      </c>
      <c r="AC147"/>
      <c r="BA147" s="48"/>
      <c r="DI147" s="6"/>
      <c r="DU147" s="55"/>
      <c r="GF147" s="6"/>
      <c r="GH147" s="180"/>
      <c r="GT147" s="6"/>
      <c r="GY147" s="53"/>
      <c r="GZ147" s="182"/>
    </row>
    <row r="148" spans="1:208">
      <c r="A148" s="24">
        <v>35095</v>
      </c>
      <c r="B148" s="95">
        <f t="shared" si="403"/>
        <v>942247</v>
      </c>
      <c r="C148" s="48">
        <f t="shared" si="404"/>
        <v>110829</v>
      </c>
      <c r="D148" s="25">
        <f t="shared" si="389"/>
        <v>187834</v>
      </c>
      <c r="E148" s="25">
        <f t="shared" si="405"/>
        <v>97225.5</v>
      </c>
      <c r="F148" s="48">
        <f t="shared" si="381"/>
        <v>-179.46671666667098</v>
      </c>
      <c r="G148" s="48">
        <f t="shared" si="382"/>
        <v>155076.5207557393</v>
      </c>
      <c r="H148" s="25">
        <f t="shared" si="406"/>
        <v>1166706</v>
      </c>
      <c r="I148" s="25">
        <f t="shared" ref="I148:I153" si="409">H136</f>
        <v>-573052</v>
      </c>
      <c r="J148" s="25">
        <f t="shared" ref="J148:J153" si="410">H148-I148</f>
        <v>1739758</v>
      </c>
      <c r="K148" s="25">
        <f>AVERAGE(C146+C147+C148)</f>
        <v>187834</v>
      </c>
      <c r="L148" s="25">
        <f t="shared" si="407"/>
        <v>23538</v>
      </c>
      <c r="M148" s="48">
        <f t="shared" si="383"/>
        <v>172196.0297166667</v>
      </c>
      <c r="N148" s="61">
        <f t="shared" si="384"/>
        <v>309973.57479481195</v>
      </c>
      <c r="O148" s="48">
        <f t="shared" si="385"/>
        <v>-310332.50822814525</v>
      </c>
      <c r="P148" s="25">
        <f t="shared" si="388"/>
        <v>492158.32341085264</v>
      </c>
      <c r="Q148" s="25">
        <f t="shared" si="388"/>
        <v>-282851.09860465111</v>
      </c>
      <c r="R148" s="95">
        <f t="shared" si="408"/>
        <v>942247</v>
      </c>
      <c r="S148" s="25">
        <f t="shared" ref="S148:S153" si="411">IF(R148&gt;0,ABS(R147-R148)," ")</f>
        <v>33001</v>
      </c>
      <c r="T148" s="25">
        <f t="shared" si="393"/>
        <v>1418522.2143234741</v>
      </c>
      <c r="U148" s="25">
        <f t="shared" si="394"/>
        <v>776443.85114146117</v>
      </c>
      <c r="W148" s="25">
        <f t="shared" si="401"/>
        <v>12069720</v>
      </c>
      <c r="X148" s="157">
        <f t="shared" si="357"/>
        <v>4.6124681193258119E-2</v>
      </c>
      <c r="Y148" s="25">
        <f t="shared" si="402"/>
        <v>2091682.476</v>
      </c>
      <c r="AB148" s="24"/>
      <c r="AC148"/>
      <c r="BA148" s="48"/>
      <c r="DI148" s="6"/>
      <c r="DU148" s="55"/>
      <c r="GF148" s="6"/>
      <c r="GH148" s="180"/>
      <c r="GT148" s="6"/>
      <c r="GY148" s="53"/>
      <c r="GZ148" s="182"/>
    </row>
    <row r="149" spans="1:208">
      <c r="A149" s="24">
        <v>35124</v>
      </c>
      <c r="B149" s="95">
        <f t="shared" si="403"/>
        <v>1173800</v>
      </c>
      <c r="C149" s="48">
        <f t="shared" si="404"/>
        <v>277182</v>
      </c>
      <c r="D149" s="25">
        <f t="shared" si="389"/>
        <v>475302</v>
      </c>
      <c r="E149" s="25">
        <f t="shared" si="405"/>
        <v>99224.583333333328</v>
      </c>
      <c r="F149" s="48">
        <f t="shared" si="381"/>
        <v>4908.2910333333302</v>
      </c>
      <c r="G149" s="48">
        <f t="shared" si="382"/>
        <v>159100.89238243128</v>
      </c>
      <c r="H149" s="25">
        <f t="shared" si="406"/>
        <v>1190695</v>
      </c>
      <c r="I149" s="25">
        <f t="shared" si="409"/>
        <v>-172497</v>
      </c>
      <c r="J149" s="25">
        <f t="shared" si="410"/>
        <v>1363192</v>
      </c>
      <c r="K149" s="25"/>
      <c r="L149" s="25">
        <f t="shared" si="407"/>
        <v>166353</v>
      </c>
      <c r="M149" s="48">
        <f t="shared" si="383"/>
        <v>174402.52363333336</v>
      </c>
      <c r="N149" s="61">
        <f t="shared" si="384"/>
        <v>323110.0757981959</v>
      </c>
      <c r="O149" s="48">
        <f t="shared" si="385"/>
        <v>-313293.49373152922</v>
      </c>
      <c r="P149" s="25">
        <f t="shared" si="388"/>
        <v>492158.32341085264</v>
      </c>
      <c r="Q149" s="25">
        <f t="shared" si="388"/>
        <v>-282851.09860465111</v>
      </c>
      <c r="R149" s="95">
        <f t="shared" si="408"/>
        <v>1173800</v>
      </c>
      <c r="S149" s="25">
        <f t="shared" si="411"/>
        <v>231553</v>
      </c>
      <c r="T149" s="25">
        <f t="shared" si="393"/>
        <v>1418522.2143234741</v>
      </c>
      <c r="U149" s="25">
        <f t="shared" si="394"/>
        <v>776443.85114146117</v>
      </c>
      <c r="W149" s="25">
        <f t="shared" si="401"/>
        <v>12025332</v>
      </c>
      <c r="X149" s="157">
        <f t="shared" si="357"/>
        <v>3.3106608847512695E-2</v>
      </c>
      <c r="Y149" s="25">
        <f t="shared" si="402"/>
        <v>2083990.0356000001</v>
      </c>
      <c r="AB149" s="24"/>
      <c r="AC149"/>
      <c r="BA149" s="48"/>
      <c r="DI149" s="6"/>
      <c r="DU149" s="55"/>
      <c r="GF149" s="6"/>
      <c r="GH149" s="180"/>
      <c r="GT149" s="6"/>
      <c r="GY149" s="53"/>
      <c r="GZ149" s="182"/>
    </row>
    <row r="150" spans="1:208">
      <c r="A150" s="24">
        <v>35155</v>
      </c>
      <c r="B150" s="95">
        <f t="shared" si="403"/>
        <v>879252</v>
      </c>
      <c r="C150" s="48">
        <f t="shared" si="404"/>
        <v>-26536</v>
      </c>
      <c r="D150" s="25">
        <f t="shared" si="389"/>
        <v>361475</v>
      </c>
      <c r="E150" s="25">
        <f t="shared" si="405"/>
        <v>92743.333333333328</v>
      </c>
      <c r="F150" s="48">
        <f t="shared" si="381"/>
        <v>8309.7370916666623</v>
      </c>
      <c r="G150" s="48">
        <f t="shared" si="382"/>
        <v>156134.02647247873</v>
      </c>
      <c r="H150" s="25">
        <f t="shared" si="406"/>
        <v>1112920</v>
      </c>
      <c r="I150" s="25">
        <f t="shared" si="409"/>
        <v>-86026</v>
      </c>
      <c r="J150" s="25">
        <f t="shared" si="410"/>
        <v>1198946</v>
      </c>
      <c r="K150" s="25"/>
      <c r="L150" s="25">
        <f t="shared" si="407"/>
        <v>303718</v>
      </c>
      <c r="M150" s="48">
        <f t="shared" si="383"/>
        <v>176088.83532500002</v>
      </c>
      <c r="N150" s="61">
        <f t="shared" si="384"/>
        <v>320577.79003662412</v>
      </c>
      <c r="O150" s="48">
        <f t="shared" si="385"/>
        <v>-303958.31585329078</v>
      </c>
      <c r="P150" s="25">
        <f t="shared" si="388"/>
        <v>492158.32341085264</v>
      </c>
      <c r="Q150" s="25">
        <f t="shared" si="388"/>
        <v>-282851.09860465111</v>
      </c>
      <c r="R150" s="95">
        <f t="shared" si="408"/>
        <v>879252</v>
      </c>
      <c r="S150" s="25">
        <f t="shared" si="411"/>
        <v>294548</v>
      </c>
      <c r="T150" s="25">
        <f t="shared" si="393"/>
        <v>1418522.2143234741</v>
      </c>
      <c r="U150" s="25">
        <f t="shared" si="394"/>
        <v>776443.85114146117</v>
      </c>
      <c r="W150" s="25">
        <f t="shared" si="401"/>
        <v>11962178</v>
      </c>
      <c r="X150" s="157">
        <f t="shared" si="357"/>
        <v>2.7953526398729008E-2</v>
      </c>
      <c r="Y150" s="25">
        <f t="shared" si="402"/>
        <v>2073045.4474000002</v>
      </c>
      <c r="AB150" s="24"/>
      <c r="AC150"/>
      <c r="BA150" s="48"/>
      <c r="DI150" s="6"/>
      <c r="DU150" s="55"/>
      <c r="GF150" s="6"/>
      <c r="GH150" s="180"/>
      <c r="GT150" s="6"/>
      <c r="GY150" s="53"/>
      <c r="GZ150" s="182"/>
    </row>
    <row r="151" spans="1:208">
      <c r="A151" s="24">
        <v>35185</v>
      </c>
      <c r="B151" s="95">
        <f t="shared" si="403"/>
        <v>1418552</v>
      </c>
      <c r="C151" s="48">
        <f t="shared" si="404"/>
        <v>457698</v>
      </c>
      <c r="D151" s="25">
        <f t="shared" si="389"/>
        <v>708344</v>
      </c>
      <c r="E151" s="25">
        <f t="shared" si="405"/>
        <v>118465.25</v>
      </c>
      <c r="F151" s="48">
        <f t="shared" si="381"/>
        <v>18104.602525000002</v>
      </c>
      <c r="G151" s="48">
        <f t="shared" si="382"/>
        <v>165465.84282737199</v>
      </c>
      <c r="H151" s="25">
        <f t="shared" si="406"/>
        <v>1421583</v>
      </c>
      <c r="I151" s="25">
        <f t="shared" si="409"/>
        <v>306338</v>
      </c>
      <c r="J151" s="25">
        <f t="shared" si="410"/>
        <v>1115245</v>
      </c>
      <c r="K151" s="25"/>
      <c r="L151" s="25">
        <f t="shared" si="407"/>
        <v>484234</v>
      </c>
      <c r="M151" s="48">
        <f t="shared" si="383"/>
        <v>182482.25470000002</v>
      </c>
      <c r="N151" s="61">
        <f t="shared" si="384"/>
        <v>349036.28817974398</v>
      </c>
      <c r="O151" s="48">
        <f t="shared" si="385"/>
        <v>-312827.08312974399</v>
      </c>
      <c r="P151" s="25">
        <f t="shared" si="388"/>
        <v>492158.32341085264</v>
      </c>
      <c r="Q151" s="25">
        <f t="shared" si="388"/>
        <v>-282851.09860465111</v>
      </c>
      <c r="R151" s="95">
        <f t="shared" si="408"/>
        <v>1418552</v>
      </c>
      <c r="S151" s="25">
        <f t="shared" si="411"/>
        <v>539300</v>
      </c>
      <c r="T151" s="25">
        <f t="shared" si="393"/>
        <v>1418522.2143234741</v>
      </c>
      <c r="U151" s="25">
        <f t="shared" si="394"/>
        <v>776443.85114146117</v>
      </c>
      <c r="W151" s="25">
        <f t="shared" si="401"/>
        <v>12347027</v>
      </c>
      <c r="X151" s="157">
        <f t="shared" si="357"/>
        <v>4.7707543350533732E-2</v>
      </c>
      <c r="Y151" s="25">
        <f t="shared" si="402"/>
        <v>2139739.7790999999</v>
      </c>
      <c r="AB151" s="4"/>
      <c r="AC151"/>
      <c r="BA151" s="48"/>
      <c r="DI151" s="6"/>
      <c r="DU151" s="55"/>
      <c r="GF151" s="6"/>
      <c r="GH151" s="180"/>
      <c r="GT151" s="6"/>
      <c r="GY151" s="53"/>
      <c r="GZ151" s="182"/>
    </row>
    <row r="152" spans="1:208">
      <c r="A152" s="24">
        <v>35216</v>
      </c>
      <c r="B152" s="95">
        <f t="shared" si="403"/>
        <v>1263663</v>
      </c>
      <c r="C152" s="48">
        <f t="shared" si="404"/>
        <v>249770</v>
      </c>
      <c r="D152" s="25">
        <f t="shared" si="389"/>
        <v>680932</v>
      </c>
      <c r="E152" s="25">
        <f t="shared" si="405"/>
        <v>135679.66666666666</v>
      </c>
      <c r="F152" s="48">
        <f t="shared" si="381"/>
        <v>23545.290525</v>
      </c>
      <c r="G152" s="48">
        <f t="shared" si="382"/>
        <v>167649.15376533981</v>
      </c>
      <c r="H152" s="25">
        <f t="shared" si="406"/>
        <v>1628156</v>
      </c>
      <c r="I152" s="25">
        <f t="shared" si="409"/>
        <v>351707</v>
      </c>
      <c r="J152" s="25">
        <f t="shared" si="410"/>
        <v>1276449</v>
      </c>
      <c r="K152" s="25"/>
      <c r="L152" s="25">
        <f t="shared" si="407"/>
        <v>207928</v>
      </c>
      <c r="M152" s="48">
        <f t="shared" si="383"/>
        <v>185059.01060000004</v>
      </c>
      <c r="N152" s="61">
        <f t="shared" si="384"/>
        <v>358843.59805567964</v>
      </c>
      <c r="O152" s="48">
        <f t="shared" si="385"/>
        <v>-311753.01700567961</v>
      </c>
      <c r="P152" s="25">
        <f t="shared" ref="P152:Q171" si="412">P346</f>
        <v>492158.32341085264</v>
      </c>
      <c r="Q152" s="25">
        <f t="shared" si="412"/>
        <v>-282851.09860465111</v>
      </c>
      <c r="R152" s="95">
        <f t="shared" si="408"/>
        <v>1263663</v>
      </c>
      <c r="S152" s="25">
        <f t="shared" si="411"/>
        <v>154889</v>
      </c>
      <c r="T152" s="25">
        <f t="shared" si="393"/>
        <v>1418522.2143234741</v>
      </c>
      <c r="U152" s="25">
        <f t="shared" si="394"/>
        <v>776443.85114146117</v>
      </c>
      <c r="W152" s="25">
        <f t="shared" si="401"/>
        <v>12681465</v>
      </c>
      <c r="X152" s="157">
        <f t="shared" si="357"/>
        <v>8.6883838910197422E-2</v>
      </c>
      <c r="Y152" s="25">
        <f t="shared" si="402"/>
        <v>2197697.8845000002</v>
      </c>
      <c r="AB152" s="24"/>
      <c r="AC152"/>
      <c r="BA152" s="48"/>
      <c r="DI152" s="6"/>
      <c r="DU152" s="55"/>
      <c r="GF152" s="6"/>
      <c r="GH152" s="180"/>
      <c r="GT152" s="6"/>
      <c r="GY152" s="53"/>
      <c r="GZ152" s="182"/>
    </row>
    <row r="153" spans="1:208">
      <c r="A153" s="24">
        <v>35246</v>
      </c>
      <c r="B153" s="95">
        <f t="shared" si="403"/>
        <v>1118487</v>
      </c>
      <c r="C153" s="48">
        <f t="shared" ref="C153:C158" si="413">AN9</f>
        <v>142412</v>
      </c>
      <c r="D153" s="25">
        <f t="shared" si="389"/>
        <v>849880</v>
      </c>
      <c r="E153" s="25">
        <f t="shared" ref="E153:E158" si="414">AVERAGE(C142:C153)</f>
        <v>132464.41666666666</v>
      </c>
      <c r="F153" s="48">
        <f t="shared" si="381"/>
        <v>27158.686733333336</v>
      </c>
      <c r="G153" s="48">
        <f t="shared" si="382"/>
        <v>167838.82074088606</v>
      </c>
      <c r="H153" s="25">
        <f t="shared" ref="H153:H158" si="415">SUM(C142:C153)</f>
        <v>1589573</v>
      </c>
      <c r="I153" s="25">
        <f t="shared" si="409"/>
        <v>568076</v>
      </c>
      <c r="J153" s="25">
        <f t="shared" si="410"/>
        <v>1021497</v>
      </c>
      <c r="K153" s="25"/>
      <c r="L153" s="25">
        <f t="shared" ref="L153:L158" si="416">((C152-C153)^2)^0.5</f>
        <v>107358</v>
      </c>
      <c r="M153" s="48">
        <f t="shared" si="383"/>
        <v>186810.31880833337</v>
      </c>
      <c r="N153" s="61">
        <f t="shared" si="384"/>
        <v>362836.32821510546</v>
      </c>
      <c r="O153" s="48">
        <f t="shared" si="385"/>
        <v>-308518.95474843879</v>
      </c>
      <c r="P153" s="25">
        <f t="shared" si="412"/>
        <v>492158.32341085264</v>
      </c>
      <c r="Q153" s="25">
        <f t="shared" si="412"/>
        <v>-282851.09860465111</v>
      </c>
      <c r="R153" s="95">
        <f t="shared" si="408"/>
        <v>1118487</v>
      </c>
      <c r="S153" s="25">
        <f t="shared" si="411"/>
        <v>145176</v>
      </c>
      <c r="T153" s="25">
        <f t="shared" si="393"/>
        <v>1418522.2143234741</v>
      </c>
      <c r="U153" s="25">
        <f t="shared" si="394"/>
        <v>776443.85114146117</v>
      </c>
      <c r="W153" s="25">
        <f t="shared" si="401"/>
        <v>12787377</v>
      </c>
      <c r="X153" s="157">
        <f t="shared" si="357"/>
        <v>9.4664500401445043E-2</v>
      </c>
      <c r="Y153" s="25">
        <f t="shared" si="402"/>
        <v>2216052.4341000002</v>
      </c>
      <c r="AB153" s="24"/>
      <c r="AC153"/>
      <c r="DI153" s="6"/>
      <c r="DU153" s="55"/>
      <c r="GF153" s="6"/>
      <c r="GH153" s="180"/>
      <c r="GT153" s="6"/>
      <c r="GY153" s="53"/>
      <c r="GZ153" s="182"/>
    </row>
    <row r="154" spans="1:208">
      <c r="A154" s="231">
        <v>35277</v>
      </c>
      <c r="B154" s="95">
        <f t="shared" si="403"/>
        <v>1191666</v>
      </c>
      <c r="C154" s="48">
        <f t="shared" si="413"/>
        <v>157284</v>
      </c>
      <c r="D154" s="25">
        <f t="shared" si="389"/>
        <v>549466</v>
      </c>
      <c r="E154" s="25">
        <f t="shared" si="414"/>
        <v>138320.75</v>
      </c>
      <c r="F154" s="48">
        <f t="shared" si="381"/>
        <v>24920.911599999996</v>
      </c>
      <c r="G154" s="48">
        <f t="shared" si="382"/>
        <v>165127.14253275772</v>
      </c>
      <c r="H154" s="25">
        <f t="shared" si="415"/>
        <v>1659849</v>
      </c>
      <c r="I154" s="25">
        <f t="shared" ref="I154:I160" si="417">H142</f>
        <v>765468</v>
      </c>
      <c r="J154" s="25">
        <f t="shared" ref="J154:J159" si="418">H154-I154</f>
        <v>894381</v>
      </c>
      <c r="K154" s="25"/>
      <c r="L154" s="25">
        <f t="shared" si="416"/>
        <v>14872</v>
      </c>
      <c r="M154" s="48">
        <f t="shared" si="383"/>
        <v>180959.14746666668</v>
      </c>
      <c r="N154" s="61">
        <f t="shared" si="384"/>
        <v>355175.19666551542</v>
      </c>
      <c r="O154" s="48">
        <f t="shared" si="385"/>
        <v>-305333.37346551544</v>
      </c>
      <c r="P154" s="25">
        <f t="shared" si="412"/>
        <v>492158.32341085264</v>
      </c>
      <c r="Q154" s="25">
        <f t="shared" si="412"/>
        <v>-282851.09860465111</v>
      </c>
      <c r="R154" s="95">
        <f t="shared" si="408"/>
        <v>1191666</v>
      </c>
      <c r="S154" s="25">
        <f t="shared" ref="S154:S160" si="419">IF(R154&gt;0,ABS(R153-R154)," ")</f>
        <v>73179</v>
      </c>
      <c r="T154" s="25">
        <f t="shared" si="393"/>
        <v>1418522.2143234741</v>
      </c>
      <c r="U154" s="25">
        <f t="shared" si="394"/>
        <v>776443.85114146117</v>
      </c>
      <c r="W154" s="25">
        <f t="shared" si="401"/>
        <v>13056520</v>
      </c>
      <c r="X154" s="157">
        <f t="shared" si="357"/>
        <v>0.11806582316116068</v>
      </c>
      <c r="Y154" s="25">
        <f t="shared" si="402"/>
        <v>2262694.9160000002</v>
      </c>
      <c r="AB154"/>
      <c r="AC154" s="97"/>
      <c r="AD154" s="97"/>
      <c r="DI154" s="6"/>
      <c r="DU154" s="55"/>
      <c r="GF154" s="6"/>
      <c r="GH154" s="180"/>
      <c r="GT154" s="6"/>
      <c r="GY154" s="53"/>
      <c r="GZ154" s="182"/>
    </row>
    <row r="155" spans="1:208">
      <c r="A155" s="24">
        <v>35308</v>
      </c>
      <c r="B155" s="95">
        <f t="shared" si="403"/>
        <v>1248844</v>
      </c>
      <c r="C155" s="48">
        <f t="shared" si="413"/>
        <v>250762</v>
      </c>
      <c r="D155" s="25">
        <f t="shared" si="389"/>
        <v>550458</v>
      </c>
      <c r="E155" s="25">
        <f t="shared" si="414"/>
        <v>145359.91666666666</v>
      </c>
      <c r="F155" s="48">
        <f t="shared" si="381"/>
        <v>28443.5275</v>
      </c>
      <c r="G155" s="48">
        <f t="shared" si="382"/>
        <v>167676.10507400971</v>
      </c>
      <c r="H155" s="25">
        <f t="shared" si="415"/>
        <v>1744319</v>
      </c>
      <c r="I155" s="25">
        <f t="shared" si="417"/>
        <v>1349639</v>
      </c>
      <c r="J155" s="25">
        <f t="shared" si="418"/>
        <v>394680</v>
      </c>
      <c r="K155" s="25"/>
      <c r="L155" s="25">
        <f t="shared" si="416"/>
        <v>93478</v>
      </c>
      <c r="M155" s="48">
        <f t="shared" si="383"/>
        <v>178314.68976666668</v>
      </c>
      <c r="N155" s="61">
        <f t="shared" si="384"/>
        <v>363795.73764801945</v>
      </c>
      <c r="O155" s="48">
        <f t="shared" si="385"/>
        <v>-306908.6826480194</v>
      </c>
      <c r="P155" s="25">
        <f t="shared" si="412"/>
        <v>492158.32341085264</v>
      </c>
      <c r="Q155" s="25">
        <f t="shared" si="412"/>
        <v>-282851.09860465111</v>
      </c>
      <c r="R155" s="95">
        <f t="shared" si="408"/>
        <v>1248844</v>
      </c>
      <c r="S155" s="25">
        <f t="shared" si="419"/>
        <v>57178</v>
      </c>
      <c r="T155" s="25">
        <f t="shared" si="393"/>
        <v>1418522.2143234741</v>
      </c>
      <c r="U155" s="25">
        <f t="shared" si="394"/>
        <v>776443.85114146117</v>
      </c>
      <c r="W155" s="25">
        <f t="shared" ref="W155:W160" si="420">SUM(R144:R155)</f>
        <v>13241215</v>
      </c>
      <c r="X155" s="157">
        <f t="shared" ref="X155:X160" si="421">(W155-W143)/W143</f>
        <v>0.11147919185417589</v>
      </c>
      <c r="Y155" s="25">
        <f t="shared" si="402"/>
        <v>2294702.5595</v>
      </c>
      <c r="AB155"/>
      <c r="AC155" s="97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DI155" s="6"/>
      <c r="DU155" s="55"/>
      <c r="GF155" s="6"/>
      <c r="GH155" s="180"/>
      <c r="GT155" s="6"/>
      <c r="GY155" s="53"/>
      <c r="GZ155" s="182"/>
    </row>
    <row r="156" spans="1:208">
      <c r="A156" s="24">
        <v>35338</v>
      </c>
      <c r="B156" s="95">
        <f t="shared" si="403"/>
        <v>1158531</v>
      </c>
      <c r="C156" s="48">
        <f t="shared" si="413"/>
        <v>179501</v>
      </c>
      <c r="D156" s="25">
        <f t="shared" si="389"/>
        <v>587547</v>
      </c>
      <c r="E156" s="25">
        <f t="shared" si="414"/>
        <v>165699.83333333334</v>
      </c>
      <c r="F156" s="48">
        <f t="shared" si="381"/>
        <v>31839.670224999994</v>
      </c>
      <c r="G156" s="48">
        <f t="shared" si="382"/>
        <v>168651.13778597815</v>
      </c>
      <c r="H156" s="25">
        <f t="shared" si="415"/>
        <v>1988398</v>
      </c>
      <c r="I156" s="25">
        <f t="shared" si="417"/>
        <v>1175647</v>
      </c>
      <c r="J156" s="25">
        <f t="shared" si="418"/>
        <v>812751</v>
      </c>
      <c r="K156" s="25"/>
      <c r="L156" s="25">
        <f t="shared" si="416"/>
        <v>71261</v>
      </c>
      <c r="M156" s="48">
        <f t="shared" si="383"/>
        <v>178441.16294166667</v>
      </c>
      <c r="N156" s="61">
        <f t="shared" si="384"/>
        <v>369141.94579695631</v>
      </c>
      <c r="O156" s="48">
        <f t="shared" si="385"/>
        <v>-305462.60534695629</v>
      </c>
      <c r="P156" s="25">
        <f t="shared" si="412"/>
        <v>492158.32341085264</v>
      </c>
      <c r="Q156" s="25">
        <f t="shared" si="412"/>
        <v>-282851.09860465111</v>
      </c>
      <c r="R156" s="95">
        <f t="shared" si="408"/>
        <v>1158531</v>
      </c>
      <c r="S156" s="25">
        <f t="shared" si="419"/>
        <v>90313</v>
      </c>
      <c r="T156" s="25">
        <f t="shared" si="393"/>
        <v>1418522.2143234741</v>
      </c>
      <c r="U156" s="25">
        <f t="shared" si="394"/>
        <v>776443.85114146117</v>
      </c>
      <c r="W156" s="25">
        <f t="shared" si="420"/>
        <v>13542339</v>
      </c>
      <c r="X156" s="157">
        <f t="shared" si="421"/>
        <v>0.15473466452779211</v>
      </c>
      <c r="Y156" s="25">
        <f t="shared" si="402"/>
        <v>2346887.3487</v>
      </c>
      <c r="AB156" s="141"/>
      <c r="AC156" s="97"/>
      <c r="AE156" s="141"/>
      <c r="AF156" s="141"/>
      <c r="AG156" s="141"/>
      <c r="AH156" s="141"/>
      <c r="AI156" s="141"/>
      <c r="AJ156" s="141"/>
      <c r="AK156" s="141"/>
      <c r="AL156" s="141"/>
      <c r="AM156" s="141"/>
      <c r="DI156" s="6"/>
      <c r="DU156" s="55"/>
      <c r="GF156" s="6"/>
      <c r="GH156" s="180"/>
      <c r="GT156" s="6"/>
      <c r="GY156" s="53"/>
      <c r="GZ156" s="182"/>
    </row>
    <row r="157" spans="1:208">
      <c r="A157" s="24">
        <v>35369</v>
      </c>
      <c r="B157" s="95">
        <f t="shared" si="403"/>
        <v>967138</v>
      </c>
      <c r="C157" s="48">
        <f t="shared" si="413"/>
        <v>-51961</v>
      </c>
      <c r="D157" s="25">
        <f t="shared" si="389"/>
        <v>378302</v>
      </c>
      <c r="E157" s="25">
        <f t="shared" si="414"/>
        <v>151995.5</v>
      </c>
      <c r="F157" s="48">
        <f t="shared" si="381"/>
        <v>26811.892366666663</v>
      </c>
      <c r="G157" s="48">
        <f t="shared" si="382"/>
        <v>166529.34871997434</v>
      </c>
      <c r="H157" s="25">
        <f t="shared" si="415"/>
        <v>1823946</v>
      </c>
      <c r="I157" s="25">
        <f t="shared" si="417"/>
        <v>1140711</v>
      </c>
      <c r="J157" s="25">
        <f t="shared" si="418"/>
        <v>683235</v>
      </c>
      <c r="K157" s="25"/>
      <c r="L157" s="25">
        <f t="shared" si="416"/>
        <v>231462</v>
      </c>
      <c r="M157" s="48">
        <f t="shared" si="383"/>
        <v>177732.64235833331</v>
      </c>
      <c r="N157" s="61">
        <f t="shared" si="384"/>
        <v>359870.58980661532</v>
      </c>
      <c r="O157" s="48">
        <f t="shared" si="385"/>
        <v>-306246.80507328204</v>
      </c>
      <c r="P157" s="25">
        <f t="shared" si="412"/>
        <v>492158.32341085264</v>
      </c>
      <c r="Q157" s="25">
        <f t="shared" si="412"/>
        <v>-282851.09860465111</v>
      </c>
      <c r="R157" s="95">
        <f t="shared" si="408"/>
        <v>967138</v>
      </c>
      <c r="S157" s="25">
        <f t="shared" si="419"/>
        <v>191393</v>
      </c>
      <c r="T157" s="25">
        <f t="shared" si="393"/>
        <v>1418522.2143234741</v>
      </c>
      <c r="U157" s="25">
        <f t="shared" si="394"/>
        <v>776443.85114146117</v>
      </c>
      <c r="W157" s="25">
        <f t="shared" si="420"/>
        <v>13451606</v>
      </c>
      <c r="X157" s="157">
        <f t="shared" si="421"/>
        <v>0.1426890183366524</v>
      </c>
      <c r="Y157" s="25">
        <f t="shared" si="402"/>
        <v>2331163.3198000002</v>
      </c>
      <c r="AB157" s="141"/>
      <c r="AC157" s="141"/>
      <c r="AD157" s="141"/>
      <c r="DI157" s="6"/>
      <c r="DU157" s="55"/>
      <c r="GF157" s="6"/>
      <c r="GH157" s="180"/>
      <c r="GT157" s="6"/>
      <c r="GY157" s="53"/>
      <c r="GZ157" s="182"/>
    </row>
    <row r="158" spans="1:208">
      <c r="A158" s="563">
        <v>35399</v>
      </c>
      <c r="B158" s="626">
        <f t="shared" si="403"/>
        <v>1218168</v>
      </c>
      <c r="C158" s="565">
        <f t="shared" si="413"/>
        <v>26466</v>
      </c>
      <c r="D158" s="121">
        <f t="shared" si="389"/>
        <v>154006</v>
      </c>
      <c r="E158" s="121">
        <f t="shared" si="414"/>
        <v>155058.16666666666</v>
      </c>
      <c r="F158" s="48">
        <f t="shared" si="381"/>
        <v>30900.362333333331</v>
      </c>
      <c r="G158" s="48">
        <f t="shared" si="382"/>
        <v>163377.52202342587</v>
      </c>
      <c r="H158" s="121">
        <f t="shared" si="415"/>
        <v>1860698</v>
      </c>
      <c r="I158" s="121">
        <f t="shared" si="417"/>
        <v>1121905</v>
      </c>
      <c r="J158" s="121">
        <f t="shared" si="418"/>
        <v>738793</v>
      </c>
      <c r="K158" s="121"/>
      <c r="L158" s="121">
        <f t="shared" si="416"/>
        <v>78427</v>
      </c>
      <c r="M158" s="48">
        <f t="shared" si="383"/>
        <v>171230.62786666665</v>
      </c>
      <c r="N158" s="61">
        <f t="shared" si="384"/>
        <v>357655.4063801851</v>
      </c>
      <c r="O158" s="48">
        <f t="shared" si="385"/>
        <v>-295854.6817135184</v>
      </c>
      <c r="P158" s="121">
        <f t="shared" si="412"/>
        <v>492158.32341085264</v>
      </c>
      <c r="Q158" s="121">
        <f t="shared" si="412"/>
        <v>-282851.09860465111</v>
      </c>
      <c r="R158" s="626">
        <f t="shared" si="408"/>
        <v>1218168</v>
      </c>
      <c r="S158" s="121">
        <f t="shared" si="419"/>
        <v>251030</v>
      </c>
      <c r="T158" s="121">
        <f t="shared" si="393"/>
        <v>1418522.2143234741</v>
      </c>
      <c r="U158" s="121">
        <f t="shared" si="394"/>
        <v>776443.85114146117</v>
      </c>
      <c r="V158" s="52"/>
      <c r="W158" s="121">
        <f t="shared" si="420"/>
        <v>13489594</v>
      </c>
      <c r="X158" s="567">
        <f t="shared" si="421"/>
        <v>0.12983340779234964</v>
      </c>
      <c r="Y158" s="25">
        <f t="shared" si="402"/>
        <v>2337746.6402000003</v>
      </c>
      <c r="AB158" s="141"/>
      <c r="AC158" s="141"/>
      <c r="AD158" s="141"/>
      <c r="DI158" s="6"/>
      <c r="DU158" s="55"/>
      <c r="GF158" s="6"/>
      <c r="GH158" s="180"/>
      <c r="GT158" s="6"/>
      <c r="GY158" s="53"/>
      <c r="GZ158" s="182"/>
    </row>
    <row r="159" spans="1:208">
      <c r="A159" s="24">
        <v>35430</v>
      </c>
      <c r="B159" s="95">
        <f t="shared" ref="B159:B170" si="422">BV3</f>
        <v>941149</v>
      </c>
      <c r="C159" s="48">
        <f t="shared" ref="C159:C170" si="423">AO3</f>
        <v>64077</v>
      </c>
      <c r="D159" s="25">
        <f t="shared" si="389"/>
        <v>38582</v>
      </c>
      <c r="E159" s="25">
        <f t="shared" ref="E159:E164" si="424">AVERAGE(C148:C159)</f>
        <v>153123.66666666666</v>
      </c>
      <c r="F159" s="48">
        <f t="shared" si="381"/>
        <v>34697.129033333338</v>
      </c>
      <c r="G159" s="48">
        <f t="shared" si="382"/>
        <v>161413.03168317152</v>
      </c>
      <c r="H159" s="25">
        <f t="shared" ref="H159:H164" si="425">SUM(C148:C159)</f>
        <v>1837484</v>
      </c>
      <c r="I159" s="25">
        <f t="shared" si="417"/>
        <v>994713</v>
      </c>
      <c r="J159" s="25">
        <f t="shared" si="418"/>
        <v>842771</v>
      </c>
      <c r="K159" s="25"/>
      <c r="L159" s="25">
        <f t="shared" ref="L159:L164" si="426">((C158-C159)^2)^0.5</f>
        <v>37611</v>
      </c>
      <c r="M159" s="48">
        <f t="shared" si="383"/>
        <v>170938.9246</v>
      </c>
      <c r="N159" s="61">
        <f t="shared" si="384"/>
        <v>357523.19239967637</v>
      </c>
      <c r="O159" s="48">
        <f t="shared" si="385"/>
        <v>-288128.9343330097</v>
      </c>
      <c r="P159" s="25">
        <f t="shared" si="412"/>
        <v>492158.32341085264</v>
      </c>
      <c r="Q159" s="25">
        <f t="shared" si="412"/>
        <v>-282851.09860465111</v>
      </c>
      <c r="R159" s="95">
        <f t="shared" ref="R159:R170" si="427">BV3</f>
        <v>941149</v>
      </c>
      <c r="S159" s="25">
        <f t="shared" si="419"/>
        <v>277019</v>
      </c>
      <c r="T159" s="25">
        <f t="shared" si="393"/>
        <v>1418522.2143234741</v>
      </c>
      <c r="U159" s="25">
        <f t="shared" si="394"/>
        <v>776443.85114146117</v>
      </c>
      <c r="W159" s="25">
        <f t="shared" si="420"/>
        <v>13521497</v>
      </c>
      <c r="X159" s="157">
        <f t="shared" si="421"/>
        <v>0.13500202128866889</v>
      </c>
      <c r="Y159" s="25">
        <f t="shared" si="402"/>
        <v>2343275.4301</v>
      </c>
      <c r="DI159" s="6"/>
      <c r="DU159" s="55"/>
      <c r="GF159" s="6"/>
      <c r="GH159" s="180"/>
      <c r="GT159" s="6"/>
      <c r="GY159" s="53"/>
      <c r="GZ159" s="182"/>
    </row>
    <row r="160" spans="1:208">
      <c r="A160" s="24">
        <v>35461</v>
      </c>
      <c r="B160" s="95">
        <f t="shared" si="422"/>
        <v>1241801</v>
      </c>
      <c r="C160" s="48">
        <f t="shared" si="423"/>
        <v>276426</v>
      </c>
      <c r="D160" s="25">
        <f t="shared" si="389"/>
        <v>366969</v>
      </c>
      <c r="E160" s="25">
        <f t="shared" si="424"/>
        <v>166923.41666666666</v>
      </c>
      <c r="F160" s="48">
        <f t="shared" si="381"/>
        <v>37033.119166666664</v>
      </c>
      <c r="G160" s="48">
        <f t="shared" si="382"/>
        <v>163902.87126311491</v>
      </c>
      <c r="H160" s="25">
        <f t="shared" si="425"/>
        <v>2003081</v>
      </c>
      <c r="I160" s="25">
        <f t="shared" si="417"/>
        <v>1166706</v>
      </c>
      <c r="J160" s="25">
        <f t="shared" ref="J160:J165" si="428">H160-I160</f>
        <v>836375</v>
      </c>
      <c r="K160" s="25">
        <f>AVERAGE(C158+C159+C160)</f>
        <v>366969</v>
      </c>
      <c r="L160" s="25">
        <f t="shared" si="426"/>
        <v>212349</v>
      </c>
      <c r="M160" s="48">
        <f t="shared" si="383"/>
        <v>169478.14803333333</v>
      </c>
      <c r="N160" s="61">
        <f t="shared" si="384"/>
        <v>364838.86169289646</v>
      </c>
      <c r="O160" s="48">
        <f t="shared" si="385"/>
        <v>-290772.62335956318</v>
      </c>
      <c r="P160" s="25">
        <f t="shared" si="412"/>
        <v>492158.32341085264</v>
      </c>
      <c r="Q160" s="25">
        <f t="shared" si="412"/>
        <v>-282851.09860465111</v>
      </c>
      <c r="R160" s="95">
        <f t="shared" si="427"/>
        <v>1241801</v>
      </c>
      <c r="S160" s="25">
        <f t="shared" si="419"/>
        <v>300652</v>
      </c>
      <c r="T160" s="25">
        <f t="shared" si="393"/>
        <v>1418522.2143234741</v>
      </c>
      <c r="U160" s="25">
        <f t="shared" si="394"/>
        <v>776443.85114146117</v>
      </c>
      <c r="W160" s="25">
        <f t="shared" si="420"/>
        <v>13821051</v>
      </c>
      <c r="X160" s="157">
        <f t="shared" si="421"/>
        <v>0.14510121195852099</v>
      </c>
      <c r="Y160" s="25">
        <f t="shared" si="402"/>
        <v>2395188.1383000002</v>
      </c>
      <c r="DI160" s="6"/>
      <c r="DU160" s="55"/>
      <c r="GF160" s="6"/>
      <c r="GH160" s="180"/>
      <c r="GT160" s="6"/>
      <c r="GY160" s="53"/>
      <c r="GZ160" s="182"/>
    </row>
    <row r="161" spans="1:208">
      <c r="A161" s="24">
        <v>35489</v>
      </c>
      <c r="B161" s="95">
        <f t="shared" si="422"/>
        <v>1274699</v>
      </c>
      <c r="C161" s="48">
        <f t="shared" si="423"/>
        <v>254206</v>
      </c>
      <c r="D161" s="25">
        <f t="shared" si="389"/>
        <v>594709</v>
      </c>
      <c r="E161" s="25">
        <f t="shared" si="424"/>
        <v>165008.75</v>
      </c>
      <c r="F161" s="48">
        <f t="shared" si="381"/>
        <v>45248.869033333336</v>
      </c>
      <c r="G161" s="48">
        <f t="shared" si="382"/>
        <v>162190.97403302652</v>
      </c>
      <c r="H161" s="25">
        <f t="shared" si="425"/>
        <v>1980105</v>
      </c>
      <c r="I161" s="25">
        <f t="shared" ref="I161:I166" si="429">H149</f>
        <v>1190695</v>
      </c>
      <c r="J161" s="25">
        <f t="shared" si="428"/>
        <v>789410</v>
      </c>
      <c r="K161" s="25"/>
      <c r="L161" s="25">
        <f t="shared" si="426"/>
        <v>22220</v>
      </c>
      <c r="M161" s="48">
        <f t="shared" si="383"/>
        <v>163598.38830000002</v>
      </c>
      <c r="N161" s="61">
        <f t="shared" si="384"/>
        <v>369630.81709938636</v>
      </c>
      <c r="O161" s="48">
        <f t="shared" si="385"/>
        <v>-279133.07903271972</v>
      </c>
      <c r="P161" s="25">
        <f t="shared" si="412"/>
        <v>492158.32341085264</v>
      </c>
      <c r="Q161" s="25">
        <f t="shared" si="412"/>
        <v>-282851.09860465111</v>
      </c>
      <c r="R161" s="95">
        <f t="shared" si="427"/>
        <v>1274699</v>
      </c>
      <c r="S161" s="25">
        <f t="shared" ref="S161:S166" si="430">IF(R161&gt;0,ABS(R160-R161)," ")</f>
        <v>32898</v>
      </c>
      <c r="T161" s="25">
        <f t="shared" si="393"/>
        <v>1418522.2143234741</v>
      </c>
      <c r="U161" s="25">
        <f t="shared" si="394"/>
        <v>776443.85114146117</v>
      </c>
      <c r="W161" s="25">
        <f t="shared" ref="W161:W166" si="431">SUM(R150:R161)</f>
        <v>13921950</v>
      </c>
      <c r="X161" s="157">
        <f t="shared" ref="X161:X166" si="432">(W161-W149)/W149</f>
        <v>0.15771855612801378</v>
      </c>
      <c r="Y161" s="25">
        <f t="shared" si="402"/>
        <v>2412673.9350000001</v>
      </c>
      <c r="DI161" s="6"/>
      <c r="DU161" s="55"/>
      <c r="GF161" s="6"/>
      <c r="GH161" s="180"/>
      <c r="GT161" s="6"/>
      <c r="GY161" s="53"/>
      <c r="GZ161" s="182"/>
    </row>
    <row r="162" spans="1:208">
      <c r="A162" s="24">
        <v>35520</v>
      </c>
      <c r="B162" s="95">
        <f t="shared" si="422"/>
        <v>1587671</v>
      </c>
      <c r="C162" s="48">
        <f t="shared" si="423"/>
        <v>420335</v>
      </c>
      <c r="D162" s="25">
        <f t="shared" si="389"/>
        <v>950967</v>
      </c>
      <c r="E162" s="25">
        <f t="shared" si="424"/>
        <v>202248</v>
      </c>
      <c r="F162" s="48">
        <f t="shared" si="381"/>
        <v>52488.535033333334</v>
      </c>
      <c r="G162" s="48">
        <f t="shared" si="382"/>
        <v>169049.07987877401</v>
      </c>
      <c r="H162" s="25">
        <f t="shared" si="425"/>
        <v>2426976</v>
      </c>
      <c r="I162" s="25">
        <f t="shared" si="429"/>
        <v>1112920</v>
      </c>
      <c r="J162" s="25">
        <f t="shared" si="428"/>
        <v>1314056</v>
      </c>
      <c r="K162" s="25"/>
      <c r="L162" s="25">
        <f t="shared" si="426"/>
        <v>166129</v>
      </c>
      <c r="M162" s="48">
        <f t="shared" si="383"/>
        <v>162622.30443333334</v>
      </c>
      <c r="N162" s="61">
        <f t="shared" si="384"/>
        <v>390586.69479088136</v>
      </c>
      <c r="O162" s="48">
        <f t="shared" si="385"/>
        <v>-285609.62472421466</v>
      </c>
      <c r="P162" s="25">
        <f t="shared" si="412"/>
        <v>492158.32341085264</v>
      </c>
      <c r="Q162" s="25">
        <f t="shared" si="412"/>
        <v>-282851.09860465111</v>
      </c>
      <c r="R162" s="95">
        <f t="shared" si="427"/>
        <v>1587671</v>
      </c>
      <c r="S162" s="25">
        <f t="shared" si="430"/>
        <v>312972</v>
      </c>
      <c r="T162" s="25">
        <f t="shared" si="393"/>
        <v>1418522.2143234741</v>
      </c>
      <c r="U162" s="25">
        <f t="shared" si="394"/>
        <v>776443.85114146117</v>
      </c>
      <c r="W162" s="25">
        <f t="shared" si="431"/>
        <v>14630369</v>
      </c>
      <c r="X162" s="157">
        <f t="shared" si="432"/>
        <v>0.22305227359097984</v>
      </c>
      <c r="Y162" s="25">
        <f t="shared" si="402"/>
        <v>2535442.9477000004</v>
      </c>
      <c r="DI162" s="6"/>
      <c r="DU162" s="55"/>
      <c r="GF162" s="6"/>
      <c r="GH162" s="180"/>
      <c r="GT162" s="6"/>
      <c r="GY162" s="53"/>
      <c r="GZ162" s="182"/>
    </row>
    <row r="163" spans="1:208">
      <c r="A163" s="24">
        <v>35550</v>
      </c>
      <c r="B163" s="95">
        <f t="shared" si="422"/>
        <v>1581307</v>
      </c>
      <c r="C163" s="48">
        <f t="shared" si="423"/>
        <v>403902</v>
      </c>
      <c r="D163" s="25">
        <f t="shared" si="389"/>
        <v>1078443</v>
      </c>
      <c r="E163" s="25">
        <f t="shared" si="424"/>
        <v>197765</v>
      </c>
      <c r="F163" s="48">
        <f t="shared" si="381"/>
        <v>56425.216366666667</v>
      </c>
      <c r="G163" s="48">
        <f t="shared" si="382"/>
        <v>174441.7502260491</v>
      </c>
      <c r="H163" s="25">
        <f t="shared" si="425"/>
        <v>2373180</v>
      </c>
      <c r="I163" s="25">
        <f t="shared" si="429"/>
        <v>1421583</v>
      </c>
      <c r="J163" s="25">
        <f t="shared" si="428"/>
        <v>951597</v>
      </c>
      <c r="K163" s="25"/>
      <c r="L163" s="25">
        <f t="shared" si="426"/>
        <v>16433</v>
      </c>
      <c r="M163" s="48">
        <f t="shared" si="383"/>
        <v>159867.08643333334</v>
      </c>
      <c r="N163" s="61">
        <f t="shared" si="384"/>
        <v>405308.71681876486</v>
      </c>
      <c r="O163" s="48">
        <f t="shared" si="385"/>
        <v>-292458.28408543154</v>
      </c>
      <c r="P163" s="25">
        <f t="shared" si="412"/>
        <v>492158.32341085264</v>
      </c>
      <c r="Q163" s="25">
        <f t="shared" si="412"/>
        <v>-282851.09860465111</v>
      </c>
      <c r="R163" s="95">
        <f t="shared" si="427"/>
        <v>1581307</v>
      </c>
      <c r="S163" s="25">
        <f t="shared" si="430"/>
        <v>6364</v>
      </c>
      <c r="T163" s="25">
        <f t="shared" si="393"/>
        <v>1418522.2143234741</v>
      </c>
      <c r="U163" s="25">
        <f t="shared" si="394"/>
        <v>776443.85114146117</v>
      </c>
      <c r="W163" s="25">
        <f t="shared" si="431"/>
        <v>14793124</v>
      </c>
      <c r="X163" s="157">
        <f t="shared" si="432"/>
        <v>0.19811222572041026</v>
      </c>
      <c r="Y163" s="25">
        <f t="shared" si="402"/>
        <v>2563648.3892000001</v>
      </c>
      <c r="DI163" s="6"/>
      <c r="DU163" s="55"/>
      <c r="GF163" s="6"/>
      <c r="GH163" s="180"/>
      <c r="GT163" s="6"/>
      <c r="GY163" s="53"/>
      <c r="GZ163" s="182"/>
    </row>
    <row r="164" spans="1:208">
      <c r="A164" s="24">
        <v>35581</v>
      </c>
      <c r="B164" s="95">
        <f t="shared" si="422"/>
        <v>1570396</v>
      </c>
      <c r="C164" s="48">
        <f t="shared" si="423"/>
        <v>416473</v>
      </c>
      <c r="D164" s="25">
        <f t="shared" ref="D164:D169" si="433">C164+C163+C162</f>
        <v>1240710</v>
      </c>
      <c r="E164" s="25">
        <f t="shared" si="424"/>
        <v>211656.91666666666</v>
      </c>
      <c r="F164" s="48">
        <f t="shared" si="381"/>
        <v>63925.248449999999</v>
      </c>
      <c r="G164" s="48">
        <f t="shared" si="382"/>
        <v>180090.99202803717</v>
      </c>
      <c r="H164" s="25">
        <f t="shared" si="425"/>
        <v>2539883</v>
      </c>
      <c r="I164" s="25">
        <f t="shared" si="429"/>
        <v>1628156</v>
      </c>
      <c r="J164" s="25">
        <f t="shared" si="428"/>
        <v>911727</v>
      </c>
      <c r="K164" s="25"/>
      <c r="L164" s="25">
        <f t="shared" si="426"/>
        <v>12571</v>
      </c>
      <c r="M164" s="48">
        <f t="shared" si="383"/>
        <v>156722.76901666669</v>
      </c>
      <c r="N164" s="61">
        <f t="shared" si="384"/>
        <v>424107.23250607436</v>
      </c>
      <c r="O164" s="48">
        <f t="shared" si="385"/>
        <v>-296256.73560607433</v>
      </c>
      <c r="P164" s="25">
        <f t="shared" si="412"/>
        <v>492158.32341085264</v>
      </c>
      <c r="Q164" s="25">
        <f t="shared" si="412"/>
        <v>-282851.09860465111</v>
      </c>
      <c r="R164" s="95">
        <f t="shared" si="427"/>
        <v>1570396</v>
      </c>
      <c r="S164" s="25">
        <f t="shared" si="430"/>
        <v>10911</v>
      </c>
      <c r="T164" s="25">
        <f t="shared" si="393"/>
        <v>1418522.2143234741</v>
      </c>
      <c r="U164" s="25">
        <f t="shared" si="394"/>
        <v>776443.85114146117</v>
      </c>
      <c r="W164" s="25">
        <f t="shared" si="431"/>
        <v>15099857</v>
      </c>
      <c r="X164" s="157">
        <f t="shared" si="432"/>
        <v>0.1907028880338352</v>
      </c>
      <c r="Y164" s="25">
        <f t="shared" si="402"/>
        <v>2616805.2181000002</v>
      </c>
      <c r="DI164" s="6"/>
      <c r="DU164" s="55"/>
      <c r="GF164" s="6"/>
      <c r="GH164" s="180"/>
      <c r="GT164" s="6"/>
      <c r="GY164" s="53"/>
      <c r="GZ164" s="182"/>
    </row>
    <row r="165" spans="1:208">
      <c r="A165" s="24">
        <v>35611</v>
      </c>
      <c r="B165" s="95">
        <f t="shared" si="422"/>
        <v>1248088</v>
      </c>
      <c r="C165" s="48">
        <f t="shared" si="423"/>
        <v>24430</v>
      </c>
      <c r="D165" s="25">
        <f t="shared" si="433"/>
        <v>844805</v>
      </c>
      <c r="E165" s="25">
        <f t="shared" ref="E165:E170" si="434">AVERAGE(C154:C165)</f>
        <v>201825.08333333334</v>
      </c>
      <c r="F165" s="48">
        <f t="shared" si="381"/>
        <v>70196.010533333334</v>
      </c>
      <c r="G165" s="48">
        <f t="shared" si="382"/>
        <v>171725.69422604149</v>
      </c>
      <c r="H165" s="25">
        <f t="shared" ref="H165:H170" si="435">SUM(C154:C165)</f>
        <v>2421901</v>
      </c>
      <c r="I165" s="25">
        <f t="shared" si="429"/>
        <v>1589573</v>
      </c>
      <c r="J165" s="25">
        <f t="shared" si="428"/>
        <v>832328</v>
      </c>
      <c r="K165" s="25"/>
      <c r="L165" s="25">
        <f t="shared" ref="L165:L170" si="436">((C164-C165)^2)^0.5</f>
        <v>392043</v>
      </c>
      <c r="M165" s="48">
        <f t="shared" si="383"/>
        <v>157952.03901666668</v>
      </c>
      <c r="N165" s="61">
        <f t="shared" si="384"/>
        <v>413647.39898541634</v>
      </c>
      <c r="O165" s="48">
        <f t="shared" si="385"/>
        <v>-273255.37791874964</v>
      </c>
      <c r="P165" s="25">
        <f t="shared" si="412"/>
        <v>492158.32341085264</v>
      </c>
      <c r="Q165" s="25">
        <f t="shared" si="412"/>
        <v>-282851.09860465111</v>
      </c>
      <c r="R165" s="95">
        <f t="shared" si="427"/>
        <v>1248088</v>
      </c>
      <c r="S165" s="25">
        <f t="shared" si="430"/>
        <v>322308</v>
      </c>
      <c r="T165" s="25">
        <f t="shared" si="393"/>
        <v>1418522.2143234741</v>
      </c>
      <c r="U165" s="25">
        <f t="shared" si="394"/>
        <v>776443.85114146117</v>
      </c>
      <c r="W165" s="25">
        <f t="shared" si="431"/>
        <v>15229458</v>
      </c>
      <c r="X165" s="157">
        <f t="shared" si="432"/>
        <v>0.19097591319939969</v>
      </c>
      <c r="Y165" s="25">
        <f t="shared" si="402"/>
        <v>2639265.0714000002</v>
      </c>
      <c r="DI165" s="6"/>
      <c r="DU165" s="55"/>
      <c r="GF165" s="6"/>
      <c r="GH165" s="180"/>
      <c r="GT165" s="6"/>
      <c r="GY165" s="53"/>
      <c r="GZ165" s="182"/>
    </row>
    <row r="166" spans="1:208">
      <c r="A166" s="24">
        <v>35642</v>
      </c>
      <c r="B166" s="95">
        <f t="shared" si="422"/>
        <v>1384930</v>
      </c>
      <c r="C166" s="48">
        <f t="shared" si="423"/>
        <v>195482</v>
      </c>
      <c r="D166" s="25">
        <f t="shared" si="433"/>
        <v>636385</v>
      </c>
      <c r="E166" s="25">
        <f t="shared" si="434"/>
        <v>205008.25</v>
      </c>
      <c r="F166" s="48">
        <f t="shared" si="381"/>
        <v>72773.750116666677</v>
      </c>
      <c r="G166" s="48">
        <f t="shared" si="382"/>
        <v>172436.57318454291</v>
      </c>
      <c r="H166" s="25">
        <f t="shared" si="435"/>
        <v>2460099</v>
      </c>
      <c r="I166" s="25">
        <f t="shared" si="429"/>
        <v>1659849</v>
      </c>
      <c r="J166" s="25">
        <f t="shared" ref="J166:J171" si="437">H166-I166</f>
        <v>800250</v>
      </c>
      <c r="K166" s="25"/>
      <c r="L166" s="25">
        <f t="shared" si="436"/>
        <v>171052</v>
      </c>
      <c r="M166" s="48">
        <f t="shared" si="383"/>
        <v>154259.01651666668</v>
      </c>
      <c r="N166" s="61">
        <f t="shared" si="384"/>
        <v>417646.89648575248</v>
      </c>
      <c r="O166" s="48">
        <f t="shared" si="385"/>
        <v>-272099.39625241916</v>
      </c>
      <c r="P166" s="25">
        <f t="shared" si="412"/>
        <v>492158.32341085264</v>
      </c>
      <c r="Q166" s="25">
        <f t="shared" si="412"/>
        <v>-282851.09860465111</v>
      </c>
      <c r="R166" s="95">
        <f t="shared" si="427"/>
        <v>1384930</v>
      </c>
      <c r="S166" s="25">
        <f t="shared" si="430"/>
        <v>136842</v>
      </c>
      <c r="T166" s="25">
        <f t="shared" si="393"/>
        <v>1418522.2143234741</v>
      </c>
      <c r="U166" s="25">
        <f t="shared" si="394"/>
        <v>776443.85114146117</v>
      </c>
      <c r="W166" s="25">
        <f t="shared" si="431"/>
        <v>15422722</v>
      </c>
      <c r="X166" s="157">
        <f t="shared" si="432"/>
        <v>0.18122761654713507</v>
      </c>
      <c r="Y166" s="25">
        <f t="shared" si="402"/>
        <v>2672757.7226</v>
      </c>
      <c r="DI166" s="6"/>
      <c r="DU166" s="55"/>
      <c r="GF166" s="6"/>
      <c r="GH166" s="180"/>
      <c r="GT166" s="6"/>
      <c r="GY166" s="53"/>
      <c r="GZ166" s="182"/>
    </row>
    <row r="167" spans="1:208">
      <c r="A167" s="24">
        <v>35673</v>
      </c>
      <c r="B167" s="95">
        <f t="shared" si="422"/>
        <v>1166555</v>
      </c>
      <c r="C167" s="48">
        <f t="shared" si="423"/>
        <v>115421</v>
      </c>
      <c r="D167" s="25">
        <f t="shared" si="433"/>
        <v>335333</v>
      </c>
      <c r="E167" s="25">
        <f t="shared" si="434"/>
        <v>193729.83333333334</v>
      </c>
      <c r="F167" s="48">
        <f t="shared" si="381"/>
        <v>73193.476116666658</v>
      </c>
      <c r="G167" s="48">
        <f t="shared" si="382"/>
        <v>172510.43553742595</v>
      </c>
      <c r="H167" s="25">
        <f t="shared" si="435"/>
        <v>2324758</v>
      </c>
      <c r="I167" s="25">
        <f t="shared" ref="I167:I173" si="438">H155</f>
        <v>1744319</v>
      </c>
      <c r="J167" s="25">
        <f t="shared" si="437"/>
        <v>580439</v>
      </c>
      <c r="K167" s="25"/>
      <c r="L167" s="25">
        <f t="shared" si="436"/>
        <v>80061</v>
      </c>
      <c r="M167" s="48">
        <f t="shared" si="383"/>
        <v>154769.70293333335</v>
      </c>
      <c r="N167" s="61">
        <f t="shared" si="384"/>
        <v>418214.34719151852</v>
      </c>
      <c r="O167" s="48">
        <f t="shared" si="385"/>
        <v>-271827.39495818526</v>
      </c>
      <c r="P167" s="25">
        <f t="shared" si="412"/>
        <v>492158.32341085264</v>
      </c>
      <c r="Q167" s="25">
        <f t="shared" si="412"/>
        <v>-282851.09860465111</v>
      </c>
      <c r="R167" s="95">
        <f t="shared" si="427"/>
        <v>1166555</v>
      </c>
      <c r="S167" s="25">
        <f t="shared" ref="S167:S173" si="439">IF(R167&gt;0,ABS(R166-R167)," ")</f>
        <v>218375</v>
      </c>
      <c r="T167" s="25">
        <f t="shared" si="393"/>
        <v>1418522.2143234741</v>
      </c>
      <c r="U167" s="25">
        <f t="shared" si="394"/>
        <v>776443.85114146117</v>
      </c>
      <c r="W167" s="25">
        <f t="shared" ref="W167:W173" si="440">SUM(R156:R167)</f>
        <v>15340433</v>
      </c>
      <c r="X167" s="157">
        <f t="shared" ref="X167:X173" si="441">(W167-W155)/W155</f>
        <v>0.15853665996662694</v>
      </c>
      <c r="Y167" s="25">
        <f t="shared" si="402"/>
        <v>2658497.0389</v>
      </c>
      <c r="DI167" s="6"/>
      <c r="DU167" s="55"/>
      <c r="GF167" s="6"/>
      <c r="GH167" s="180"/>
      <c r="GT167" s="6"/>
      <c r="GY167" s="53"/>
      <c r="GZ167" s="182"/>
    </row>
    <row r="168" spans="1:208">
      <c r="A168" s="24">
        <v>35703</v>
      </c>
      <c r="B168" s="95">
        <f t="shared" si="422"/>
        <v>1827875</v>
      </c>
      <c r="C168" s="48">
        <f t="shared" si="423"/>
        <v>595746</v>
      </c>
      <c r="D168" s="25">
        <f t="shared" si="433"/>
        <v>906649</v>
      </c>
      <c r="E168" s="25">
        <f t="shared" si="434"/>
        <v>228416.91666666666</v>
      </c>
      <c r="F168" s="48">
        <f t="shared" si="381"/>
        <v>87982.953583333336</v>
      </c>
      <c r="G168" s="48">
        <f t="shared" si="382"/>
        <v>178633.12412128731</v>
      </c>
      <c r="H168" s="25">
        <f t="shared" si="435"/>
        <v>2741003</v>
      </c>
      <c r="I168" s="25">
        <f t="shared" si="438"/>
        <v>1988398</v>
      </c>
      <c r="J168" s="25">
        <f t="shared" si="437"/>
        <v>752605</v>
      </c>
      <c r="K168" s="25"/>
      <c r="L168" s="25">
        <f t="shared" si="436"/>
        <v>480325</v>
      </c>
      <c r="M168" s="48">
        <f t="shared" si="383"/>
        <v>156410.78479999999</v>
      </c>
      <c r="N168" s="61">
        <f t="shared" si="384"/>
        <v>445249.20182590798</v>
      </c>
      <c r="O168" s="48">
        <f t="shared" si="385"/>
        <v>-269283.29465924128</v>
      </c>
      <c r="P168" s="25">
        <f t="shared" si="412"/>
        <v>492158.32341085264</v>
      </c>
      <c r="Q168" s="25">
        <f t="shared" si="412"/>
        <v>-282851.09860465111</v>
      </c>
      <c r="R168" s="95">
        <f t="shared" si="427"/>
        <v>1827875</v>
      </c>
      <c r="S168" s="25">
        <f t="shared" si="439"/>
        <v>661320</v>
      </c>
      <c r="T168" s="25">
        <f t="shared" si="393"/>
        <v>1418522.2143234741</v>
      </c>
      <c r="U168" s="25">
        <f t="shared" si="394"/>
        <v>776443.85114146117</v>
      </c>
      <c r="W168" s="25">
        <f t="shared" si="440"/>
        <v>16009777</v>
      </c>
      <c r="X168" s="157">
        <f t="shared" si="441"/>
        <v>0.18220175997661853</v>
      </c>
      <c r="Y168" s="25">
        <f t="shared" si="402"/>
        <v>2774494.3541000001</v>
      </c>
      <c r="DI168" s="6"/>
      <c r="DU168" s="55"/>
      <c r="GF168" s="6"/>
      <c r="GH168" s="180"/>
      <c r="GT168" s="6"/>
      <c r="GY168" s="53"/>
      <c r="GZ168" s="182"/>
    </row>
    <row r="169" spans="1:208">
      <c r="A169" s="24">
        <v>35734</v>
      </c>
      <c r="B169" s="95">
        <f t="shared" si="422"/>
        <v>1167283</v>
      </c>
      <c r="C169" s="48">
        <f t="shared" si="423"/>
        <v>52911</v>
      </c>
      <c r="D169" s="25">
        <f t="shared" si="433"/>
        <v>764078</v>
      </c>
      <c r="E169" s="25">
        <f t="shared" si="434"/>
        <v>237156.25</v>
      </c>
      <c r="F169" s="48">
        <f t="shared" si="381"/>
        <v>86047.91638333333</v>
      </c>
      <c r="G169" s="48">
        <f t="shared" si="382"/>
        <v>178369.13081035682</v>
      </c>
      <c r="H169" s="25">
        <f t="shared" si="435"/>
        <v>2845875</v>
      </c>
      <c r="I169" s="25">
        <f t="shared" si="438"/>
        <v>1823946</v>
      </c>
      <c r="J169" s="25">
        <f t="shared" si="437"/>
        <v>1021929</v>
      </c>
      <c r="K169" s="25"/>
      <c r="L169" s="25">
        <f t="shared" si="436"/>
        <v>542835</v>
      </c>
      <c r="M169" s="48">
        <f t="shared" si="383"/>
        <v>157780.77013333334</v>
      </c>
      <c r="N169" s="61">
        <f t="shared" si="384"/>
        <v>442786.17800404696</v>
      </c>
      <c r="O169" s="48">
        <f t="shared" si="385"/>
        <v>-270690.3452373803</v>
      </c>
      <c r="P169" s="25">
        <f t="shared" si="412"/>
        <v>492158.32341085264</v>
      </c>
      <c r="Q169" s="25">
        <f t="shared" si="412"/>
        <v>-282851.09860465111</v>
      </c>
      <c r="R169" s="95">
        <f t="shared" si="427"/>
        <v>1167283</v>
      </c>
      <c r="S169" s="25">
        <f t="shared" si="439"/>
        <v>660592</v>
      </c>
      <c r="T169" s="25">
        <f t="shared" si="393"/>
        <v>1418522.2143234741</v>
      </c>
      <c r="U169" s="25">
        <f t="shared" si="394"/>
        <v>776443.85114146117</v>
      </c>
      <c r="W169" s="25">
        <f t="shared" si="440"/>
        <v>16209922</v>
      </c>
      <c r="X169" s="157">
        <f t="shared" si="441"/>
        <v>0.20505477189861196</v>
      </c>
      <c r="Y169" s="25">
        <f t="shared" si="402"/>
        <v>2809179.4826000002</v>
      </c>
      <c r="DI169" s="6"/>
      <c r="DU169" s="55"/>
      <c r="GF169" s="6"/>
      <c r="GH169" s="180"/>
      <c r="GT169" s="6"/>
      <c r="GY169" s="53"/>
      <c r="GZ169" s="182"/>
    </row>
    <row r="170" spans="1:208">
      <c r="A170" s="563">
        <v>35764</v>
      </c>
      <c r="B170" s="626">
        <f t="shared" si="422"/>
        <v>1248664</v>
      </c>
      <c r="C170" s="565">
        <f t="shared" si="423"/>
        <v>-179692</v>
      </c>
      <c r="D170" s="121">
        <f t="shared" ref="D170:D178" si="442">C170+C169+C168</f>
        <v>468965</v>
      </c>
      <c r="E170" s="121">
        <f t="shared" si="434"/>
        <v>219976.41666666666</v>
      </c>
      <c r="F170" s="48">
        <f t="shared" si="381"/>
        <v>80226.704383333345</v>
      </c>
      <c r="G170" s="48">
        <f t="shared" si="382"/>
        <v>181272.52851536675</v>
      </c>
      <c r="H170" s="121">
        <f t="shared" si="435"/>
        <v>2639717</v>
      </c>
      <c r="I170" s="121">
        <f t="shared" si="438"/>
        <v>1860698</v>
      </c>
      <c r="J170" s="121">
        <f t="shared" si="437"/>
        <v>779019</v>
      </c>
      <c r="K170" s="121"/>
      <c r="L170" s="121">
        <f t="shared" si="436"/>
        <v>232603</v>
      </c>
      <c r="M170" s="48">
        <f t="shared" si="383"/>
        <v>161648.02866666665</v>
      </c>
      <c r="N170" s="61">
        <f t="shared" si="384"/>
        <v>442771.76141406683</v>
      </c>
      <c r="O170" s="48">
        <f t="shared" si="385"/>
        <v>-282318.35264740017</v>
      </c>
      <c r="P170" s="121">
        <f t="shared" si="412"/>
        <v>492158.32341085264</v>
      </c>
      <c r="Q170" s="121">
        <f t="shared" si="412"/>
        <v>-282851.09860465111</v>
      </c>
      <c r="R170" s="626">
        <f t="shared" si="427"/>
        <v>1248664</v>
      </c>
      <c r="S170" s="121">
        <f t="shared" si="439"/>
        <v>81381</v>
      </c>
      <c r="T170" s="121">
        <f t="shared" si="393"/>
        <v>1418522.2143234741</v>
      </c>
      <c r="U170" s="121">
        <f t="shared" si="394"/>
        <v>776443.85114146117</v>
      </c>
      <c r="V170" s="52"/>
      <c r="W170" s="121">
        <f t="shared" si="440"/>
        <v>16240418</v>
      </c>
      <c r="X170" s="567">
        <f t="shared" si="441"/>
        <v>0.20392192678297064</v>
      </c>
      <c r="Y170" s="25">
        <f t="shared" si="402"/>
        <v>2814464.4394</v>
      </c>
      <c r="DI170" s="6"/>
      <c r="DU170" s="55"/>
      <c r="GF170" s="6"/>
      <c r="GH170" s="180"/>
      <c r="GT170" s="6"/>
      <c r="GY170" s="53"/>
      <c r="GZ170" s="182"/>
    </row>
    <row r="171" spans="1:208">
      <c r="A171" s="24">
        <v>35795</v>
      </c>
      <c r="B171" s="95">
        <f t="shared" ref="B171:B182" si="443">BW3</f>
        <v>882527</v>
      </c>
      <c r="C171" s="48">
        <f t="shared" ref="C171:C176" si="444">AP3</f>
        <v>-69909</v>
      </c>
      <c r="D171" s="25">
        <f t="shared" si="442"/>
        <v>-196690</v>
      </c>
      <c r="E171" s="25">
        <f t="shared" ref="E171:E176" si="445">AVERAGE(C160:C171)</f>
        <v>208810.91666666666</v>
      </c>
      <c r="F171" s="48">
        <f t="shared" si="381"/>
        <v>77781.8266</v>
      </c>
      <c r="G171" s="48">
        <f t="shared" si="382"/>
        <v>182306.05090735367</v>
      </c>
      <c r="H171" s="25">
        <f t="shared" ref="H171:H176" si="446">SUM(C160:C171)</f>
        <v>2505731</v>
      </c>
      <c r="I171" s="25">
        <f t="shared" si="438"/>
        <v>1837484</v>
      </c>
      <c r="J171" s="25">
        <f t="shared" si="437"/>
        <v>668247</v>
      </c>
      <c r="K171" s="25"/>
      <c r="L171" s="25">
        <f t="shared" ref="L171:L176" si="447">((C170-C171)^2)^0.5</f>
        <v>109783</v>
      </c>
      <c r="M171" s="48">
        <f t="shared" si="383"/>
        <v>161931.12778333333</v>
      </c>
      <c r="N171" s="61">
        <f t="shared" si="384"/>
        <v>442393.9284147073</v>
      </c>
      <c r="O171" s="48">
        <f t="shared" si="385"/>
        <v>-286830.27521470736</v>
      </c>
      <c r="P171" s="25">
        <f t="shared" si="412"/>
        <v>492158.32341085264</v>
      </c>
      <c r="Q171" s="25">
        <f t="shared" si="412"/>
        <v>-282851.09860465111</v>
      </c>
      <c r="R171" s="95">
        <f t="shared" ref="R171:R182" si="448">BW3</f>
        <v>882527</v>
      </c>
      <c r="S171" s="25">
        <f t="shared" si="439"/>
        <v>366137</v>
      </c>
      <c r="T171" s="25">
        <f t="shared" si="393"/>
        <v>1418522.2143234741</v>
      </c>
      <c r="U171" s="25">
        <f t="shared" si="394"/>
        <v>776443.85114146117</v>
      </c>
      <c r="W171" s="25">
        <f t="shared" si="440"/>
        <v>16181796</v>
      </c>
      <c r="X171" s="157">
        <f t="shared" si="441"/>
        <v>0.19674589285491095</v>
      </c>
      <c r="Y171" s="25">
        <f t="shared" si="402"/>
        <v>2804305.2468000003</v>
      </c>
      <c r="DI171" s="6"/>
      <c r="DU171" s="55"/>
      <c r="GF171" s="6"/>
      <c r="GH171" s="180"/>
      <c r="GT171" s="6"/>
      <c r="GY171" s="53"/>
      <c r="GZ171" s="182"/>
    </row>
    <row r="172" spans="1:208">
      <c r="A172" s="24">
        <v>35826</v>
      </c>
      <c r="B172" s="95">
        <f t="shared" si="443"/>
        <v>1073357</v>
      </c>
      <c r="C172" s="48">
        <f t="shared" si="444"/>
        <v>32275</v>
      </c>
      <c r="D172" s="25">
        <f t="shared" si="442"/>
        <v>-217326</v>
      </c>
      <c r="E172" s="25">
        <f t="shared" si="445"/>
        <v>188465</v>
      </c>
      <c r="F172" s="48">
        <f t="shared" si="381"/>
        <v>78194.312916666677</v>
      </c>
      <c r="G172" s="48">
        <f t="shared" si="382"/>
        <v>182172.34491673697</v>
      </c>
      <c r="H172" s="25">
        <f t="shared" si="446"/>
        <v>2261580</v>
      </c>
      <c r="I172" s="25">
        <f t="shared" si="438"/>
        <v>2003081</v>
      </c>
      <c r="J172" s="25">
        <f t="shared" ref="J172:J178" si="449">H172-I172</f>
        <v>258499</v>
      </c>
      <c r="K172" s="25">
        <f>AVERAGE(C170+C171+C172)</f>
        <v>-217326</v>
      </c>
      <c r="L172" s="25">
        <f t="shared" si="447"/>
        <v>102184</v>
      </c>
      <c r="M172" s="48">
        <f t="shared" si="383"/>
        <v>162479.89701666665</v>
      </c>
      <c r="N172" s="61">
        <f t="shared" si="384"/>
        <v>442539.00275014061</v>
      </c>
      <c r="O172" s="48">
        <f t="shared" si="385"/>
        <v>-286150.37691680726</v>
      </c>
      <c r="P172" s="25">
        <f t="shared" ref="P172:Q191" si="450">P366</f>
        <v>492158.32341085264</v>
      </c>
      <c r="Q172" s="25">
        <f t="shared" si="450"/>
        <v>-282851.09860465111</v>
      </c>
      <c r="R172" s="95">
        <f t="shared" si="448"/>
        <v>1073357</v>
      </c>
      <c r="S172" s="25">
        <f t="shared" si="439"/>
        <v>190830</v>
      </c>
      <c r="T172" s="25">
        <f t="shared" si="393"/>
        <v>1418522.2143234741</v>
      </c>
      <c r="U172" s="25">
        <f t="shared" si="394"/>
        <v>776443.85114146117</v>
      </c>
      <c r="W172" s="25">
        <f t="shared" si="440"/>
        <v>16013352</v>
      </c>
      <c r="X172" s="157">
        <f t="shared" si="441"/>
        <v>0.1586204261890069</v>
      </c>
      <c r="Y172" s="25">
        <f t="shared" si="402"/>
        <v>2775113.9016</v>
      </c>
      <c r="DI172" s="6"/>
      <c r="DU172" s="55"/>
      <c r="GF172" s="6"/>
      <c r="GH172" s="180"/>
      <c r="GT172" s="6"/>
      <c r="GY172" s="53"/>
      <c r="GZ172" s="182"/>
    </row>
    <row r="173" spans="1:208">
      <c r="A173" s="24">
        <v>35854</v>
      </c>
      <c r="B173" s="95">
        <f t="shared" si="443"/>
        <v>1706161</v>
      </c>
      <c r="C173" s="48">
        <f t="shared" si="444"/>
        <v>523236</v>
      </c>
      <c r="D173" s="25">
        <f t="shared" si="442"/>
        <v>485602</v>
      </c>
      <c r="E173" s="25">
        <f t="shared" si="445"/>
        <v>210884.16666666666</v>
      </c>
      <c r="F173" s="48">
        <f t="shared" si="381"/>
        <v>86915.518583333338</v>
      </c>
      <c r="G173" s="48">
        <f t="shared" si="382"/>
        <v>190689.98420031587</v>
      </c>
      <c r="H173" s="25">
        <f t="shared" si="446"/>
        <v>2530610</v>
      </c>
      <c r="I173" s="25">
        <f t="shared" si="438"/>
        <v>1980105</v>
      </c>
      <c r="J173" s="25">
        <f t="shared" si="449"/>
        <v>550505</v>
      </c>
      <c r="K173" s="25"/>
      <c r="L173" s="25">
        <f t="shared" si="447"/>
        <v>490961</v>
      </c>
      <c r="M173" s="48">
        <f t="shared" si="383"/>
        <v>170536.54433333332</v>
      </c>
      <c r="N173" s="61">
        <f t="shared" si="384"/>
        <v>468295.48698396509</v>
      </c>
      <c r="O173" s="48">
        <f t="shared" si="385"/>
        <v>-294464.44981729839</v>
      </c>
      <c r="P173" s="25">
        <f t="shared" si="450"/>
        <v>492158.32341085264</v>
      </c>
      <c r="Q173" s="25">
        <f t="shared" si="450"/>
        <v>-282851.09860465111</v>
      </c>
      <c r="R173" s="95">
        <f t="shared" si="448"/>
        <v>1706161</v>
      </c>
      <c r="S173" s="25">
        <f t="shared" si="439"/>
        <v>632804</v>
      </c>
      <c r="T173" s="25">
        <f t="shared" si="393"/>
        <v>1418522.2143234741</v>
      </c>
      <c r="U173" s="25">
        <f t="shared" si="394"/>
        <v>776443.85114146117</v>
      </c>
      <c r="W173" s="25">
        <f t="shared" si="440"/>
        <v>16444814</v>
      </c>
      <c r="X173" s="157">
        <f t="shared" si="441"/>
        <v>0.18121484418490225</v>
      </c>
      <c r="Y173" s="25">
        <f t="shared" si="402"/>
        <v>2849886.2662</v>
      </c>
      <c r="DI173" s="6"/>
      <c r="DU173" s="55"/>
      <c r="GF173" s="6"/>
      <c r="GH173" s="180"/>
      <c r="GT173" s="6"/>
      <c r="GY173" s="53"/>
      <c r="GZ173" s="182"/>
    </row>
    <row r="174" spans="1:208">
      <c r="A174" s="24">
        <v>35885</v>
      </c>
      <c r="B174" s="95">
        <f t="shared" si="443"/>
        <v>1233898</v>
      </c>
      <c r="C174" s="48">
        <f t="shared" si="444"/>
        <v>16764</v>
      </c>
      <c r="D174" s="25">
        <f t="shared" si="442"/>
        <v>572275</v>
      </c>
      <c r="E174" s="25">
        <f t="shared" si="445"/>
        <v>177253.25</v>
      </c>
      <c r="F174" s="48">
        <f t="shared" si="381"/>
        <v>90834.610799999995</v>
      </c>
      <c r="G174" s="48">
        <f t="shared" si="382"/>
        <v>186683.40476255212</v>
      </c>
      <c r="H174" s="25">
        <f t="shared" si="446"/>
        <v>2127039</v>
      </c>
      <c r="I174" s="25">
        <f t="shared" ref="I174:I182" si="451">H162</f>
        <v>2426976</v>
      </c>
      <c r="J174" s="25">
        <f t="shared" si="449"/>
        <v>-299937</v>
      </c>
      <c r="K174" s="25"/>
      <c r="L174" s="25">
        <f t="shared" si="447"/>
        <v>506472</v>
      </c>
      <c r="M174" s="48">
        <f t="shared" si="383"/>
        <v>175338.65778333333</v>
      </c>
      <c r="N174" s="61">
        <f t="shared" si="384"/>
        <v>464201.42032510426</v>
      </c>
      <c r="O174" s="48">
        <f t="shared" si="385"/>
        <v>-282532.19872510422</v>
      </c>
      <c r="P174" s="25">
        <f t="shared" si="450"/>
        <v>492158.32341085264</v>
      </c>
      <c r="Q174" s="25">
        <f t="shared" si="450"/>
        <v>-282851.09860465111</v>
      </c>
      <c r="R174" s="95">
        <f t="shared" si="448"/>
        <v>1233898</v>
      </c>
      <c r="S174" s="25">
        <f t="shared" ref="S174:S182" si="452">IF(R174&gt;0,ABS(R173-R174)," ")</f>
        <v>472263</v>
      </c>
      <c r="T174" s="25">
        <f t="shared" si="393"/>
        <v>1418522.2143234741</v>
      </c>
      <c r="U174" s="25">
        <f t="shared" si="394"/>
        <v>776443.85114146117</v>
      </c>
      <c r="W174" s="25">
        <f t="shared" ref="W174:W181" si="453">SUM(R163:R174)</f>
        <v>16091041</v>
      </c>
      <c r="X174" s="157">
        <f t="shared" ref="X174:X182" si="454">(W174-W162)/W162</f>
        <v>9.983835677692067E-2</v>
      </c>
      <c r="Y174" s="25">
        <f t="shared" si="402"/>
        <v>2788577.4053000002</v>
      </c>
      <c r="DI174" s="6"/>
      <c r="DU174" s="55"/>
      <c r="GF174" s="6"/>
      <c r="GH174" s="180"/>
      <c r="GT174" s="6"/>
      <c r="GY174" s="53"/>
      <c r="GZ174" s="182"/>
    </row>
    <row r="175" spans="1:208">
      <c r="A175" s="24">
        <v>35915</v>
      </c>
      <c r="B175" s="95">
        <f t="shared" si="443"/>
        <v>1537412</v>
      </c>
      <c r="C175" s="48">
        <f t="shared" si="444"/>
        <v>407964</v>
      </c>
      <c r="D175" s="25">
        <f t="shared" si="442"/>
        <v>947964</v>
      </c>
      <c r="E175" s="25">
        <f t="shared" si="445"/>
        <v>177591.75</v>
      </c>
      <c r="F175" s="48">
        <f t="shared" si="381"/>
        <v>96806.125616666672</v>
      </c>
      <c r="G175" s="48">
        <f t="shared" si="382"/>
        <v>191024.36459590265</v>
      </c>
      <c r="H175" s="25">
        <f t="shared" si="446"/>
        <v>2131101</v>
      </c>
      <c r="I175" s="25">
        <f t="shared" si="451"/>
        <v>2373180</v>
      </c>
      <c r="J175" s="25">
        <f t="shared" si="449"/>
        <v>-242079</v>
      </c>
      <c r="K175" s="25"/>
      <c r="L175" s="25">
        <f t="shared" si="447"/>
        <v>391200</v>
      </c>
      <c r="M175" s="48">
        <f t="shared" si="383"/>
        <v>177391.08038333332</v>
      </c>
      <c r="N175" s="61">
        <f t="shared" si="384"/>
        <v>478854.85480847198</v>
      </c>
      <c r="O175" s="48">
        <f t="shared" si="385"/>
        <v>-285242.60357513861</v>
      </c>
      <c r="P175" s="25">
        <f t="shared" si="450"/>
        <v>492158.32341085264</v>
      </c>
      <c r="Q175" s="25">
        <f t="shared" si="450"/>
        <v>-282851.09860465111</v>
      </c>
      <c r="R175" s="95">
        <f t="shared" si="448"/>
        <v>1537412</v>
      </c>
      <c r="S175" s="25">
        <f t="shared" si="452"/>
        <v>303514</v>
      </c>
      <c r="T175" s="25">
        <f t="shared" si="393"/>
        <v>1418522.2143234741</v>
      </c>
      <c r="U175" s="25">
        <f t="shared" si="394"/>
        <v>776443.85114146117</v>
      </c>
      <c r="W175" s="25">
        <f t="shared" si="453"/>
        <v>16047146</v>
      </c>
      <c r="X175" s="157">
        <f t="shared" si="454"/>
        <v>8.4770600178839847E-2</v>
      </c>
      <c r="Y175" s="25">
        <f t="shared" si="402"/>
        <v>2780970.4018000001</v>
      </c>
      <c r="DI175" s="6"/>
      <c r="DU175" s="55"/>
      <c r="GF175" s="6"/>
      <c r="GH175" s="180"/>
      <c r="GT175" s="6"/>
      <c r="GY175" s="53"/>
      <c r="GZ175" s="182"/>
    </row>
    <row r="176" spans="1:208">
      <c r="A176" s="24">
        <v>35946</v>
      </c>
      <c r="B176" s="95">
        <f t="shared" si="443"/>
        <v>1292004</v>
      </c>
      <c r="C176" s="48">
        <f t="shared" si="444"/>
        <v>64840</v>
      </c>
      <c r="D176" s="25">
        <f t="shared" si="442"/>
        <v>489568</v>
      </c>
      <c r="E176" s="25">
        <f t="shared" si="445"/>
        <v>148289</v>
      </c>
      <c r="F176" s="48">
        <f t="shared" si="381"/>
        <v>100565.67083333334</v>
      </c>
      <c r="G176" s="48">
        <f t="shared" si="382"/>
        <v>188066.68909416246</v>
      </c>
      <c r="H176" s="25">
        <f t="shared" si="446"/>
        <v>1779468</v>
      </c>
      <c r="I176" s="25">
        <f t="shared" si="451"/>
        <v>2539883</v>
      </c>
      <c r="J176" s="25">
        <f t="shared" si="449"/>
        <v>-760415</v>
      </c>
      <c r="K176" s="25"/>
      <c r="L176" s="25">
        <f t="shared" si="447"/>
        <v>343124</v>
      </c>
      <c r="M176" s="48">
        <f t="shared" si="383"/>
        <v>179603.04998333333</v>
      </c>
      <c r="N176" s="61">
        <f t="shared" si="384"/>
        <v>476699.04902165825</v>
      </c>
      <c r="O176" s="48">
        <f t="shared" si="385"/>
        <v>-275567.70735499158</v>
      </c>
      <c r="P176" s="25">
        <f t="shared" si="450"/>
        <v>492158.32341085264</v>
      </c>
      <c r="Q176" s="25">
        <f t="shared" si="450"/>
        <v>-282851.09860465111</v>
      </c>
      <c r="R176" s="95">
        <f t="shared" si="448"/>
        <v>1292004</v>
      </c>
      <c r="S176" s="25">
        <f t="shared" si="452"/>
        <v>245408</v>
      </c>
      <c r="T176" s="25">
        <f t="shared" si="393"/>
        <v>1418522.2143234741</v>
      </c>
      <c r="U176" s="25">
        <f t="shared" si="394"/>
        <v>776443.85114146117</v>
      </c>
      <c r="W176" s="25">
        <f t="shared" si="453"/>
        <v>15768754</v>
      </c>
      <c r="X176" s="157">
        <f t="shared" si="454"/>
        <v>4.4298234082614157E-2</v>
      </c>
      <c r="Y176" s="25">
        <f t="shared" si="402"/>
        <v>2732725.0682000001</v>
      </c>
      <c r="DI176" s="6"/>
      <c r="DU176" s="55"/>
      <c r="GF176" s="6"/>
      <c r="GH176" s="180"/>
      <c r="GT176" s="6"/>
      <c r="GY176" s="53"/>
      <c r="GZ176" s="182"/>
    </row>
    <row r="177" spans="1:208">
      <c r="A177" s="24">
        <v>35976</v>
      </c>
      <c r="B177" s="95">
        <f t="shared" si="443"/>
        <v>846052</v>
      </c>
      <c r="C177" s="48">
        <f t="shared" ref="C177:C182" si="455">AP9</f>
        <v>-233680</v>
      </c>
      <c r="D177" s="25">
        <f t="shared" si="442"/>
        <v>239124</v>
      </c>
      <c r="E177" s="25">
        <f t="shared" ref="E177:E182" si="456">AVERAGE(C166:C177)</f>
        <v>126779.83333333333</v>
      </c>
      <c r="F177" s="48">
        <f t="shared" si="381"/>
        <v>98252.989516666668</v>
      </c>
      <c r="G177" s="48">
        <f t="shared" si="382"/>
        <v>191336.09829807637</v>
      </c>
      <c r="H177" s="25">
        <f t="shared" ref="H177:H182" si="457">SUM(C166:C177)</f>
        <v>1521358</v>
      </c>
      <c r="I177" s="25">
        <f t="shared" si="451"/>
        <v>2421901</v>
      </c>
      <c r="J177" s="25">
        <f t="shared" si="449"/>
        <v>-900543</v>
      </c>
      <c r="K177" s="25"/>
      <c r="L177" s="25">
        <f t="shared" ref="L177:L182" si="458">((C176-C177)^2)^0.5</f>
        <v>298520</v>
      </c>
      <c r="M177" s="48">
        <f t="shared" si="383"/>
        <v>183481.49011666665</v>
      </c>
      <c r="N177" s="61">
        <f t="shared" si="384"/>
        <v>480925.18611281941</v>
      </c>
      <c r="O177" s="48">
        <f t="shared" si="385"/>
        <v>-284419.20707948605</v>
      </c>
      <c r="P177" s="25">
        <f t="shared" si="450"/>
        <v>492158.32341085264</v>
      </c>
      <c r="Q177" s="25">
        <f t="shared" si="450"/>
        <v>-282851.09860465111</v>
      </c>
      <c r="R177" s="95">
        <f t="shared" si="448"/>
        <v>846052</v>
      </c>
      <c r="S177" s="25">
        <f t="shared" si="452"/>
        <v>445952</v>
      </c>
      <c r="T177" s="25">
        <f t="shared" si="393"/>
        <v>1418522.2143234741</v>
      </c>
      <c r="U177" s="25">
        <f t="shared" si="394"/>
        <v>776443.85114146117</v>
      </c>
      <c r="W177" s="25">
        <f t="shared" si="453"/>
        <v>15366718</v>
      </c>
      <c r="X177" s="157">
        <f t="shared" si="454"/>
        <v>9.0127961218317808E-3</v>
      </c>
      <c r="Y177" s="25">
        <f t="shared" si="402"/>
        <v>2663052.2294000001</v>
      </c>
      <c r="DI177" s="6"/>
      <c r="DU177" s="55"/>
      <c r="GF177" s="6"/>
      <c r="GH177" s="180"/>
      <c r="GT177" s="6"/>
      <c r="GY177" s="53"/>
      <c r="GZ177" s="182"/>
    </row>
    <row r="178" spans="1:208">
      <c r="A178" s="24">
        <v>36008</v>
      </c>
      <c r="B178" s="95">
        <f t="shared" si="443"/>
        <v>816063</v>
      </c>
      <c r="C178" s="48">
        <f t="shared" si="455"/>
        <v>-251911</v>
      </c>
      <c r="D178" s="25">
        <f t="shared" si="442"/>
        <v>-420751</v>
      </c>
      <c r="E178" s="25">
        <f t="shared" si="456"/>
        <v>89497.083333333328</v>
      </c>
      <c r="F178" s="48">
        <f t="shared" si="381"/>
        <v>93557.812449999998</v>
      </c>
      <c r="G178" s="48">
        <f t="shared" si="382"/>
        <v>196432.88944324767</v>
      </c>
      <c r="H178" s="25">
        <f t="shared" si="457"/>
        <v>1073965</v>
      </c>
      <c r="I178" s="25">
        <f t="shared" si="451"/>
        <v>2460099</v>
      </c>
      <c r="J178" s="25">
        <f t="shared" si="449"/>
        <v>-1386134</v>
      </c>
      <c r="K178" s="25"/>
      <c r="L178" s="25">
        <f t="shared" si="458"/>
        <v>18231</v>
      </c>
      <c r="M178" s="48">
        <f t="shared" si="383"/>
        <v>181706.69436666666</v>
      </c>
      <c r="N178" s="61">
        <f t="shared" si="384"/>
        <v>486423.59133649536</v>
      </c>
      <c r="O178" s="48">
        <f t="shared" si="385"/>
        <v>-299307.96643649531</v>
      </c>
      <c r="P178" s="25">
        <f t="shared" si="450"/>
        <v>492158.32341085264</v>
      </c>
      <c r="Q178" s="25">
        <f t="shared" si="450"/>
        <v>-282851.09860465111</v>
      </c>
      <c r="R178" s="95">
        <f t="shared" si="448"/>
        <v>816063</v>
      </c>
      <c r="S178" s="25">
        <f t="shared" si="452"/>
        <v>29989</v>
      </c>
      <c r="T178" s="25">
        <f t="shared" si="393"/>
        <v>1418522.2143234741</v>
      </c>
      <c r="U178" s="25">
        <f t="shared" si="394"/>
        <v>776443.85114146117</v>
      </c>
      <c r="W178" s="25">
        <f t="shared" si="453"/>
        <v>14797851</v>
      </c>
      <c r="X178" s="157">
        <f t="shared" si="454"/>
        <v>-4.0516259062440468E-2</v>
      </c>
      <c r="Y178" s="25">
        <f t="shared" si="402"/>
        <v>2564467.5783000002</v>
      </c>
      <c r="DI178" s="6"/>
      <c r="DU178" s="55"/>
      <c r="GF178" s="6"/>
      <c r="GH178" s="180"/>
      <c r="GT178" s="6"/>
      <c r="GY178" s="53"/>
      <c r="GZ178" s="182"/>
    </row>
    <row r="179" spans="1:208">
      <c r="A179" s="24">
        <v>36039</v>
      </c>
      <c r="B179" s="95">
        <f t="shared" si="443"/>
        <v>1004315</v>
      </c>
      <c r="C179" s="48">
        <f t="shared" si="455"/>
        <v>5651</v>
      </c>
      <c r="D179" s="25">
        <f t="shared" ref="D179:D190" si="459">C179+C178+C177</f>
        <v>-479940</v>
      </c>
      <c r="E179" s="25">
        <f t="shared" si="456"/>
        <v>80349.583333333328</v>
      </c>
      <c r="F179" s="48">
        <f t="shared" si="381"/>
        <v>92500.614216666669</v>
      </c>
      <c r="G179" s="48">
        <f t="shared" si="382"/>
        <v>196737.30438233732</v>
      </c>
      <c r="H179" s="25">
        <f t="shared" si="457"/>
        <v>964195</v>
      </c>
      <c r="I179" s="25">
        <f t="shared" si="451"/>
        <v>2324758</v>
      </c>
      <c r="J179" s="25">
        <f t="shared" ref="J179:J185" si="460">H179-I179</f>
        <v>-1360563</v>
      </c>
      <c r="K179" s="25"/>
      <c r="L179" s="25">
        <f t="shared" si="458"/>
        <v>257562</v>
      </c>
      <c r="M179" s="48">
        <f t="shared" si="383"/>
        <v>185344.67320000002</v>
      </c>
      <c r="N179" s="61">
        <f t="shared" si="384"/>
        <v>485975.2229813413</v>
      </c>
      <c r="O179" s="48">
        <f t="shared" si="385"/>
        <v>-300973.99454800796</v>
      </c>
      <c r="P179" s="25">
        <f t="shared" si="450"/>
        <v>492158.32341085264</v>
      </c>
      <c r="Q179" s="25">
        <f t="shared" si="450"/>
        <v>-282851.09860465111</v>
      </c>
      <c r="R179" s="95">
        <f t="shared" si="448"/>
        <v>1004315</v>
      </c>
      <c r="S179" s="25">
        <f t="shared" si="452"/>
        <v>188252</v>
      </c>
      <c r="T179" s="25">
        <f t="shared" si="393"/>
        <v>1418522.2143234741</v>
      </c>
      <c r="U179" s="25">
        <f t="shared" si="394"/>
        <v>776443.85114146117</v>
      </c>
      <c r="W179" s="25">
        <f t="shared" si="453"/>
        <v>14635611</v>
      </c>
      <c r="X179" s="157">
        <f t="shared" si="454"/>
        <v>-4.5945378464871234E-2</v>
      </c>
      <c r="Y179" s="25">
        <f t="shared" si="402"/>
        <v>2536351.3863000004</v>
      </c>
      <c r="DI179" s="6"/>
      <c r="DU179" s="55"/>
      <c r="GF179" s="6"/>
      <c r="GH179" s="180"/>
      <c r="GT179" s="6"/>
      <c r="GY179" s="53"/>
      <c r="GZ179" s="182"/>
    </row>
    <row r="180" spans="1:208">
      <c r="A180" s="24">
        <v>36069</v>
      </c>
      <c r="B180" s="95">
        <f t="shared" si="443"/>
        <v>1070589</v>
      </c>
      <c r="C180" s="48">
        <f t="shared" si="455"/>
        <v>-62298</v>
      </c>
      <c r="D180" s="25">
        <f t="shared" si="459"/>
        <v>-308558</v>
      </c>
      <c r="E180" s="25">
        <f t="shared" si="456"/>
        <v>25512.583333333332</v>
      </c>
      <c r="F180" s="48">
        <f t="shared" si="381"/>
        <v>88396.005999999994</v>
      </c>
      <c r="G180" s="48">
        <f t="shared" si="382"/>
        <v>197364.49929525948</v>
      </c>
      <c r="H180" s="25">
        <f t="shared" si="457"/>
        <v>306151</v>
      </c>
      <c r="I180" s="25">
        <f t="shared" si="451"/>
        <v>2741003</v>
      </c>
      <c r="J180" s="25">
        <f t="shared" si="460"/>
        <v>-2434852</v>
      </c>
      <c r="K180" s="25"/>
      <c r="L180" s="25">
        <f t="shared" si="458"/>
        <v>67949</v>
      </c>
      <c r="M180" s="48">
        <f t="shared" si="383"/>
        <v>184562.22988333332</v>
      </c>
      <c r="N180" s="61">
        <f t="shared" si="384"/>
        <v>483125.00459051895</v>
      </c>
      <c r="O180" s="48">
        <f t="shared" si="385"/>
        <v>-306332.99259051896</v>
      </c>
      <c r="P180" s="25">
        <f t="shared" si="450"/>
        <v>492158.32341085264</v>
      </c>
      <c r="Q180" s="25">
        <f t="shared" si="450"/>
        <v>-282851.09860465111</v>
      </c>
      <c r="R180" s="95">
        <f t="shared" si="448"/>
        <v>1070589</v>
      </c>
      <c r="S180" s="25">
        <f t="shared" si="452"/>
        <v>66274</v>
      </c>
      <c r="T180" s="25">
        <f t="shared" si="393"/>
        <v>1418522.2143234741</v>
      </c>
      <c r="U180" s="25">
        <f t="shared" si="394"/>
        <v>776443.85114146117</v>
      </c>
      <c r="W180" s="25">
        <f t="shared" si="453"/>
        <v>13878325</v>
      </c>
      <c r="X180" s="157">
        <f t="shared" si="454"/>
        <v>-0.13313439656280035</v>
      </c>
      <c r="Y180" s="25">
        <f t="shared" si="402"/>
        <v>2405113.7225000001</v>
      </c>
      <c r="DI180" s="6"/>
      <c r="DU180" s="55"/>
      <c r="GF180" s="6"/>
      <c r="GH180" s="180"/>
      <c r="GT180" s="6"/>
      <c r="GY180" s="53"/>
      <c r="GZ180" s="182"/>
    </row>
    <row r="181" spans="1:208">
      <c r="A181" s="24">
        <v>36100</v>
      </c>
      <c r="B181" s="95">
        <f t="shared" si="443"/>
        <v>1313280</v>
      </c>
      <c r="C181" s="48">
        <f t="shared" si="455"/>
        <v>167348</v>
      </c>
      <c r="D181" s="25">
        <f t="shared" si="459"/>
        <v>110701</v>
      </c>
      <c r="E181" s="25">
        <f t="shared" si="456"/>
        <v>35049</v>
      </c>
      <c r="F181" s="48">
        <f t="shared" si="381"/>
        <v>90461.366833333333</v>
      </c>
      <c r="G181" s="48">
        <f t="shared" si="382"/>
        <v>197534.25765174557</v>
      </c>
      <c r="H181" s="25">
        <f t="shared" si="457"/>
        <v>420588</v>
      </c>
      <c r="I181" s="25">
        <f t="shared" si="451"/>
        <v>2845875</v>
      </c>
      <c r="J181" s="25">
        <f t="shared" si="460"/>
        <v>-2425287</v>
      </c>
      <c r="K181" s="25"/>
      <c r="L181" s="25">
        <f t="shared" si="458"/>
        <v>229646</v>
      </c>
      <c r="M181" s="48">
        <f t="shared" si="383"/>
        <v>186047.1275</v>
      </c>
      <c r="N181" s="61">
        <f t="shared" si="384"/>
        <v>485529.88213682448</v>
      </c>
      <c r="O181" s="48">
        <f t="shared" si="385"/>
        <v>-304607.14847015782</v>
      </c>
      <c r="P181" s="25">
        <f t="shared" si="450"/>
        <v>492158.32341085264</v>
      </c>
      <c r="Q181" s="25">
        <f t="shared" si="450"/>
        <v>-282851.09860465111</v>
      </c>
      <c r="R181" s="95">
        <f t="shared" si="448"/>
        <v>1313280</v>
      </c>
      <c r="S181" s="25">
        <f t="shared" si="452"/>
        <v>242691</v>
      </c>
      <c r="T181" s="25">
        <f t="shared" si="393"/>
        <v>1418522.2143234741</v>
      </c>
      <c r="U181" s="25">
        <f t="shared" si="394"/>
        <v>776443.85114146117</v>
      </c>
      <c r="W181" s="25">
        <f t="shared" si="453"/>
        <v>14024322</v>
      </c>
      <c r="X181" s="157">
        <f t="shared" si="454"/>
        <v>-0.13483100042060658</v>
      </c>
      <c r="Y181" s="25">
        <f t="shared" si="402"/>
        <v>2430415.0026000002</v>
      </c>
      <c r="DI181" s="6"/>
      <c r="DU181" s="55"/>
      <c r="GF181" s="6"/>
      <c r="GH181" s="180"/>
      <c r="GT181" s="6"/>
      <c r="GY181" s="53"/>
      <c r="GZ181" s="182"/>
    </row>
    <row r="182" spans="1:208">
      <c r="A182" s="563">
        <v>36130</v>
      </c>
      <c r="B182" s="626">
        <f t="shared" si="443"/>
        <v>1085253</v>
      </c>
      <c r="C182" s="565">
        <f t="shared" si="455"/>
        <v>-71978</v>
      </c>
      <c r="D182" s="121">
        <f t="shared" si="459"/>
        <v>33072</v>
      </c>
      <c r="E182" s="121">
        <f t="shared" si="456"/>
        <v>44025.166666666664</v>
      </c>
      <c r="F182" s="48">
        <f t="shared" si="381"/>
        <v>88427.7</v>
      </c>
      <c r="G182" s="48">
        <f t="shared" si="382"/>
        <v>198582.76971608558</v>
      </c>
      <c r="H182" s="121">
        <f t="shared" si="457"/>
        <v>528302</v>
      </c>
      <c r="I182" s="121">
        <f t="shared" si="451"/>
        <v>2639717</v>
      </c>
      <c r="J182" s="121">
        <f t="shared" si="460"/>
        <v>-2111415</v>
      </c>
      <c r="K182" s="121"/>
      <c r="L182" s="121">
        <f t="shared" si="458"/>
        <v>239326</v>
      </c>
      <c r="M182" s="48">
        <f t="shared" si="383"/>
        <v>189925.63316666667</v>
      </c>
      <c r="N182" s="61">
        <f t="shared" si="384"/>
        <v>485593.23943217116</v>
      </c>
      <c r="O182" s="48">
        <f t="shared" si="385"/>
        <v>-308737.83943217114</v>
      </c>
      <c r="P182" s="121">
        <f t="shared" si="450"/>
        <v>492158.32341085264</v>
      </c>
      <c r="Q182" s="121">
        <f t="shared" si="450"/>
        <v>-282851.09860465111</v>
      </c>
      <c r="R182" s="626">
        <f t="shared" si="448"/>
        <v>1085253</v>
      </c>
      <c r="S182" s="121">
        <f t="shared" si="452"/>
        <v>228027</v>
      </c>
      <c r="T182" s="121">
        <f t="shared" si="393"/>
        <v>1418522.2143234741</v>
      </c>
      <c r="U182" s="121">
        <f t="shared" si="394"/>
        <v>776443.85114146117</v>
      </c>
      <c r="V182" s="52"/>
      <c r="W182" s="121">
        <f t="shared" ref="W182:W190" si="461">SUM(R171:R182)</f>
        <v>13860911</v>
      </c>
      <c r="X182" s="567">
        <f t="shared" si="454"/>
        <v>-0.14651759579094578</v>
      </c>
      <c r="Y182" s="25">
        <f t="shared" si="402"/>
        <v>2402095.8763000001</v>
      </c>
      <c r="DI182" s="6"/>
      <c r="DU182" s="55"/>
      <c r="GF182" s="6"/>
      <c r="GH182" s="180"/>
      <c r="GT182" s="6"/>
      <c r="GY182" s="53"/>
      <c r="GZ182" s="182"/>
    </row>
    <row r="183" spans="1:208">
      <c r="A183" s="24">
        <v>36161</v>
      </c>
      <c r="B183" s="95">
        <f t="shared" ref="B183:B194" si="462">BX3</f>
        <v>700486</v>
      </c>
      <c r="C183" s="48">
        <f t="shared" ref="C183:C190" si="463">AQ3</f>
        <v>-177220</v>
      </c>
      <c r="D183" s="25">
        <f t="shared" si="459"/>
        <v>-81850</v>
      </c>
      <c r="E183" s="25">
        <f t="shared" ref="E183:E190" si="464">AVERAGE(C172:C183)</f>
        <v>35082.583333333336</v>
      </c>
      <c r="F183" s="48">
        <f t="shared" si="381"/>
        <v>84100.183333333334</v>
      </c>
      <c r="G183" s="48">
        <f t="shared" si="382"/>
        <v>201523.05522025216</v>
      </c>
      <c r="H183" s="25">
        <f t="shared" ref="H183:H190" si="465">SUM(C172:C183)</f>
        <v>420991</v>
      </c>
      <c r="I183" s="25">
        <f t="shared" ref="I183:I190" si="466">H171</f>
        <v>2505731</v>
      </c>
      <c r="J183" s="25">
        <f t="shared" si="460"/>
        <v>-2084740</v>
      </c>
      <c r="K183" s="25"/>
      <c r="L183" s="25">
        <f t="shared" ref="L183:L190" si="467">((C182-C183)^2)^0.5</f>
        <v>105242</v>
      </c>
      <c r="M183" s="48">
        <f t="shared" si="383"/>
        <v>191139.85</v>
      </c>
      <c r="N183" s="61">
        <f t="shared" si="384"/>
        <v>487146.29377383768</v>
      </c>
      <c r="O183" s="48">
        <f t="shared" si="385"/>
        <v>-318945.92710717098</v>
      </c>
      <c r="P183" s="25">
        <f t="shared" si="450"/>
        <v>492158.32341085264</v>
      </c>
      <c r="Q183" s="25">
        <f t="shared" si="450"/>
        <v>-282851.09860465111</v>
      </c>
      <c r="R183" s="95">
        <f t="shared" ref="R183:R194" si="468">BX3</f>
        <v>700486</v>
      </c>
      <c r="S183" s="25">
        <f t="shared" ref="S183:S190" si="469">IF(R183&gt;0,ABS(R182-R183)," ")</f>
        <v>384767</v>
      </c>
      <c r="T183" s="25">
        <f t="shared" si="393"/>
        <v>1418522.2143234741</v>
      </c>
      <c r="U183" s="25">
        <f t="shared" si="394"/>
        <v>776443.85114146117</v>
      </c>
      <c r="W183" s="25">
        <f t="shared" si="461"/>
        <v>13678870</v>
      </c>
      <c r="X183" s="157">
        <f t="shared" ref="X183:X190" si="470">(W183-W171)/W171</f>
        <v>-0.1546754142741634</v>
      </c>
      <c r="Y183" s="25">
        <f t="shared" si="402"/>
        <v>2370548.1710000001</v>
      </c>
      <c r="DI183" s="6"/>
      <c r="DU183" s="55"/>
      <c r="GF183" s="6"/>
      <c r="GH183" s="180"/>
      <c r="GT183" s="6"/>
      <c r="GY183" s="53"/>
      <c r="GZ183" s="182"/>
    </row>
    <row r="184" spans="1:208">
      <c r="A184" s="24">
        <v>36192</v>
      </c>
      <c r="B184" s="95">
        <f t="shared" si="462"/>
        <v>957141</v>
      </c>
      <c r="C184" s="48">
        <f t="shared" si="463"/>
        <v>28482</v>
      </c>
      <c r="D184" s="25">
        <f t="shared" si="459"/>
        <v>-220716</v>
      </c>
      <c r="E184" s="25">
        <f t="shared" si="464"/>
        <v>34766.5</v>
      </c>
      <c r="F184" s="48">
        <f t="shared" si="381"/>
        <v>87925.21666666666</v>
      </c>
      <c r="G184" s="48">
        <f t="shared" si="382"/>
        <v>198169.71736308708</v>
      </c>
      <c r="H184" s="25">
        <f t="shared" si="465"/>
        <v>417198</v>
      </c>
      <c r="I184" s="25">
        <f t="shared" si="466"/>
        <v>2261580</v>
      </c>
      <c r="J184" s="25">
        <f t="shared" si="460"/>
        <v>-1844382</v>
      </c>
      <c r="K184" s="25">
        <f>AVERAGE(C182+C183+C184)</f>
        <v>-220716</v>
      </c>
      <c r="L184" s="25">
        <f t="shared" si="467"/>
        <v>205702</v>
      </c>
      <c r="M184" s="48">
        <f t="shared" si="383"/>
        <v>189844.03333333333</v>
      </c>
      <c r="N184" s="61">
        <f t="shared" si="384"/>
        <v>484264.65139284084</v>
      </c>
      <c r="O184" s="48">
        <f t="shared" si="385"/>
        <v>-308414.21805950749</v>
      </c>
      <c r="P184" s="25">
        <f t="shared" si="450"/>
        <v>492158.32341085264</v>
      </c>
      <c r="Q184" s="25">
        <f t="shared" si="450"/>
        <v>-282851.09860465111</v>
      </c>
      <c r="R184" s="95">
        <f t="shared" si="468"/>
        <v>957141</v>
      </c>
      <c r="S184" s="25">
        <f t="shared" si="469"/>
        <v>256655</v>
      </c>
      <c r="T184" s="25">
        <f t="shared" si="393"/>
        <v>1418522.2143234741</v>
      </c>
      <c r="U184" s="25">
        <f t="shared" si="394"/>
        <v>776443.85114146117</v>
      </c>
      <c r="W184" s="25">
        <f t="shared" si="461"/>
        <v>13562654</v>
      </c>
      <c r="X184" s="157">
        <f t="shared" si="470"/>
        <v>-0.1530409123586367</v>
      </c>
      <c r="Y184" s="25">
        <f t="shared" si="402"/>
        <v>2350407.9382000002</v>
      </c>
      <c r="DI184" s="6"/>
      <c r="DU184" s="55"/>
      <c r="GF184" s="6"/>
      <c r="GH184" s="180"/>
      <c r="GT184" s="6"/>
      <c r="GY184" s="53"/>
      <c r="GZ184" s="182"/>
    </row>
    <row r="185" spans="1:208">
      <c r="A185" s="24">
        <v>36220</v>
      </c>
      <c r="B185" s="95">
        <f t="shared" si="462"/>
        <v>1010758</v>
      </c>
      <c r="C185" s="48">
        <f t="shared" si="463"/>
        <v>-8061</v>
      </c>
      <c r="D185" s="25">
        <f t="shared" si="459"/>
        <v>-156799</v>
      </c>
      <c r="E185" s="25">
        <f t="shared" si="464"/>
        <v>-9508.25</v>
      </c>
      <c r="F185" s="48">
        <f t="shared" si="381"/>
        <v>90246.9</v>
      </c>
      <c r="G185" s="48">
        <f t="shared" si="382"/>
        <v>196172.3923007689</v>
      </c>
      <c r="H185" s="25">
        <f t="shared" si="465"/>
        <v>-114099</v>
      </c>
      <c r="I185" s="25">
        <f t="shared" si="466"/>
        <v>2530610</v>
      </c>
      <c r="J185" s="25">
        <f t="shared" si="460"/>
        <v>-2644709</v>
      </c>
      <c r="K185" s="25"/>
      <c r="L185" s="25">
        <f t="shared" si="467"/>
        <v>36543</v>
      </c>
      <c r="M185" s="48">
        <f t="shared" si="383"/>
        <v>189558.78333333333</v>
      </c>
      <c r="N185" s="61">
        <f t="shared" si="384"/>
        <v>482591.68460153777</v>
      </c>
      <c r="O185" s="48">
        <f t="shared" si="385"/>
        <v>-302097.88460153784</v>
      </c>
      <c r="P185" s="25">
        <f t="shared" si="450"/>
        <v>492158.32341085264</v>
      </c>
      <c r="Q185" s="25">
        <f t="shared" si="450"/>
        <v>-282851.09860465111</v>
      </c>
      <c r="R185" s="95">
        <f t="shared" si="468"/>
        <v>1010758</v>
      </c>
      <c r="S185" s="25">
        <f t="shared" si="469"/>
        <v>53617</v>
      </c>
      <c r="T185" s="25">
        <f t="shared" si="393"/>
        <v>1418522.2143234741</v>
      </c>
      <c r="U185" s="25">
        <f t="shared" si="394"/>
        <v>776443.85114146117</v>
      </c>
      <c r="W185" s="25">
        <f t="shared" si="461"/>
        <v>12867251</v>
      </c>
      <c r="X185" s="157">
        <f t="shared" si="470"/>
        <v>-0.21754961777007634</v>
      </c>
      <c r="Y185" s="25">
        <f t="shared" si="402"/>
        <v>2229894.5983000002</v>
      </c>
      <c r="DI185" s="6"/>
      <c r="DU185" s="55"/>
      <c r="GF185" s="6"/>
      <c r="GH185" s="180"/>
      <c r="GT185" s="6"/>
      <c r="GY185" s="53"/>
      <c r="GZ185" s="182"/>
    </row>
    <row r="186" spans="1:208">
      <c r="A186" s="24">
        <v>36251</v>
      </c>
      <c r="B186" s="95">
        <f t="shared" si="462"/>
        <v>1279763</v>
      </c>
      <c r="C186" s="48">
        <f t="shared" si="463"/>
        <v>215945</v>
      </c>
      <c r="D186" s="25">
        <f t="shared" si="459"/>
        <v>236366</v>
      </c>
      <c r="E186" s="25">
        <f t="shared" si="464"/>
        <v>7090.166666666667</v>
      </c>
      <c r="F186" s="48">
        <f t="shared" si="381"/>
        <v>94433.183333333334</v>
      </c>
      <c r="G186" s="48">
        <f t="shared" si="382"/>
        <v>196129.34172610423</v>
      </c>
      <c r="H186" s="25">
        <f t="shared" si="465"/>
        <v>85082</v>
      </c>
      <c r="I186" s="25">
        <f t="shared" si="466"/>
        <v>2127039</v>
      </c>
      <c r="J186" s="25">
        <f t="shared" ref="J186:J191" si="471">H186-I186</f>
        <v>-2041957</v>
      </c>
      <c r="K186" s="25"/>
      <c r="L186" s="25">
        <f t="shared" si="467"/>
        <v>224006</v>
      </c>
      <c r="M186" s="48">
        <f t="shared" si="383"/>
        <v>191423.38333333333</v>
      </c>
      <c r="N186" s="61">
        <f t="shared" si="384"/>
        <v>486691.86678554182</v>
      </c>
      <c r="O186" s="48">
        <f t="shared" si="385"/>
        <v>-297825.50011887512</v>
      </c>
      <c r="P186" s="25">
        <f t="shared" si="450"/>
        <v>492158.32341085264</v>
      </c>
      <c r="Q186" s="25">
        <f t="shared" si="450"/>
        <v>-282851.09860465111</v>
      </c>
      <c r="R186" s="95">
        <f t="shared" si="468"/>
        <v>1279763</v>
      </c>
      <c r="S186" s="25">
        <f t="shared" si="469"/>
        <v>269005</v>
      </c>
      <c r="T186" s="25">
        <f t="shared" si="393"/>
        <v>1418522.2143234741</v>
      </c>
      <c r="U186" s="25">
        <f t="shared" si="394"/>
        <v>776443.85114146117</v>
      </c>
      <c r="W186" s="25">
        <f t="shared" si="461"/>
        <v>12913116</v>
      </c>
      <c r="X186" s="157">
        <f t="shared" si="470"/>
        <v>-0.19749654481646028</v>
      </c>
      <c r="Y186" s="25">
        <f t="shared" si="402"/>
        <v>2237843.0027999999</v>
      </c>
      <c r="DI186" s="6"/>
      <c r="DU186" s="55"/>
      <c r="GF186" s="6"/>
      <c r="GH186" s="180"/>
      <c r="GT186" s="6"/>
      <c r="GY186" s="53"/>
      <c r="GZ186" s="182"/>
    </row>
    <row r="187" spans="1:208">
      <c r="A187" s="24">
        <v>36281</v>
      </c>
      <c r="B187" s="95">
        <f t="shared" si="462"/>
        <v>1347483</v>
      </c>
      <c r="C187" s="48">
        <f t="shared" si="463"/>
        <v>175373</v>
      </c>
      <c r="D187" s="25">
        <f t="shared" si="459"/>
        <v>383257</v>
      </c>
      <c r="E187" s="25">
        <f t="shared" si="464"/>
        <v>-12292.416666666666</v>
      </c>
      <c r="F187" s="48">
        <f t="shared" si="381"/>
        <v>101411.55</v>
      </c>
      <c r="G187" s="48">
        <f t="shared" si="382"/>
        <v>191297.20012750992</v>
      </c>
      <c r="H187" s="25">
        <f t="shared" si="465"/>
        <v>-147509</v>
      </c>
      <c r="I187" s="25">
        <f t="shared" si="466"/>
        <v>2131101</v>
      </c>
      <c r="J187" s="25">
        <f t="shared" si="471"/>
        <v>-2278610</v>
      </c>
      <c r="K187" s="25"/>
      <c r="L187" s="25">
        <f t="shared" si="467"/>
        <v>40572</v>
      </c>
      <c r="M187" s="48">
        <f t="shared" si="383"/>
        <v>188631.3</v>
      </c>
      <c r="N187" s="61">
        <f t="shared" si="384"/>
        <v>484005.95025501982</v>
      </c>
      <c r="O187" s="48">
        <f t="shared" si="385"/>
        <v>-281182.85025501985</v>
      </c>
      <c r="P187" s="25">
        <f t="shared" si="450"/>
        <v>492158.32341085264</v>
      </c>
      <c r="Q187" s="25">
        <f t="shared" si="450"/>
        <v>-282851.09860465111</v>
      </c>
      <c r="R187" s="95">
        <f t="shared" si="468"/>
        <v>1347483</v>
      </c>
      <c r="S187" s="25">
        <f t="shared" si="469"/>
        <v>67720</v>
      </c>
      <c r="T187" s="25">
        <f t="shared" si="393"/>
        <v>1418522.2143234741</v>
      </c>
      <c r="U187" s="25">
        <f t="shared" si="394"/>
        <v>776443.85114146117</v>
      </c>
      <c r="W187" s="25">
        <f t="shared" si="461"/>
        <v>12723187</v>
      </c>
      <c r="X187" s="157">
        <f t="shared" si="470"/>
        <v>-0.20713708219517663</v>
      </c>
      <c r="Y187" s="25">
        <f t="shared" si="402"/>
        <v>2204928.3071000003</v>
      </c>
      <c r="DI187" s="6"/>
      <c r="DU187" s="55"/>
      <c r="GF187" s="6"/>
      <c r="GH187" s="180"/>
      <c r="GT187" s="6"/>
      <c r="GY187" s="53"/>
      <c r="GZ187" s="182"/>
    </row>
    <row r="188" spans="1:208" ht="12" customHeight="1">
      <c r="A188" s="24">
        <v>36312</v>
      </c>
      <c r="B188" s="95">
        <f t="shared" si="462"/>
        <v>1686596</v>
      </c>
      <c r="C188" s="48">
        <f t="shared" si="463"/>
        <v>454972</v>
      </c>
      <c r="D188" s="25">
        <f t="shared" si="459"/>
        <v>846290</v>
      </c>
      <c r="E188" s="25">
        <f t="shared" si="464"/>
        <v>20218.583333333332</v>
      </c>
      <c r="F188" s="48">
        <f t="shared" si="381"/>
        <v>109030.61666666667</v>
      </c>
      <c r="G188" s="48">
        <f t="shared" si="382"/>
        <v>196143.96896771996</v>
      </c>
      <c r="H188" s="25">
        <f t="shared" si="465"/>
        <v>242623</v>
      </c>
      <c r="I188" s="25">
        <f t="shared" si="466"/>
        <v>1779468</v>
      </c>
      <c r="J188" s="25">
        <f t="shared" si="471"/>
        <v>-1536845</v>
      </c>
      <c r="K188" s="25"/>
      <c r="L188" s="25">
        <f t="shared" si="467"/>
        <v>279599</v>
      </c>
      <c r="M188" s="48">
        <f t="shared" si="383"/>
        <v>189272</v>
      </c>
      <c r="N188" s="61">
        <f t="shared" si="384"/>
        <v>501318.55460210657</v>
      </c>
      <c r="O188" s="48">
        <f t="shared" si="385"/>
        <v>-283257.32126877329</v>
      </c>
      <c r="P188" s="25">
        <f t="shared" si="450"/>
        <v>492158.32341085264</v>
      </c>
      <c r="Q188" s="25">
        <f t="shared" si="450"/>
        <v>-282851.09860465111</v>
      </c>
      <c r="R188" s="95">
        <f t="shared" si="468"/>
        <v>1686596</v>
      </c>
      <c r="S188" s="25">
        <f t="shared" si="469"/>
        <v>339113</v>
      </c>
      <c r="T188" s="25">
        <f t="shared" si="393"/>
        <v>1418522.2143234741</v>
      </c>
      <c r="U188" s="25">
        <f t="shared" si="394"/>
        <v>776443.85114146117</v>
      </c>
      <c r="W188" s="25">
        <f t="shared" si="461"/>
        <v>13117779</v>
      </c>
      <c r="X188" s="157">
        <f t="shared" si="470"/>
        <v>-0.16811569259054965</v>
      </c>
      <c r="Y188" s="25">
        <f t="shared" si="402"/>
        <v>2273311.1007000003</v>
      </c>
      <c r="DI188" s="6"/>
      <c r="DU188" s="55"/>
      <c r="GF188" s="6"/>
      <c r="GH188" s="180"/>
      <c r="GT188" s="6"/>
      <c r="GY188" s="53"/>
      <c r="GZ188" s="182"/>
    </row>
    <row r="189" spans="1:208" ht="12" customHeight="1">
      <c r="A189" s="24">
        <v>36342</v>
      </c>
      <c r="B189" s="95">
        <f t="shared" si="462"/>
        <v>1408622</v>
      </c>
      <c r="C189" s="48">
        <f t="shared" si="463"/>
        <v>474</v>
      </c>
      <c r="D189" s="25">
        <f t="shared" si="459"/>
        <v>630819</v>
      </c>
      <c r="E189" s="25">
        <f t="shared" si="464"/>
        <v>39731.416666666664</v>
      </c>
      <c r="F189" s="48">
        <f t="shared" si="381"/>
        <v>109628.08333333333</v>
      </c>
      <c r="G189" s="48">
        <f t="shared" si="382"/>
        <v>195750.85188916017</v>
      </c>
      <c r="H189" s="25">
        <f t="shared" si="465"/>
        <v>476777</v>
      </c>
      <c r="I189" s="25">
        <f t="shared" si="466"/>
        <v>1521358</v>
      </c>
      <c r="J189" s="25">
        <f t="shared" si="471"/>
        <v>-1044581</v>
      </c>
      <c r="K189" s="25"/>
      <c r="L189" s="25">
        <f t="shared" si="467"/>
        <v>454498</v>
      </c>
      <c r="M189" s="48">
        <f t="shared" si="383"/>
        <v>196293.6</v>
      </c>
      <c r="N189" s="61">
        <f t="shared" si="384"/>
        <v>501129.78711165366</v>
      </c>
      <c r="O189" s="48">
        <f t="shared" si="385"/>
        <v>-281873.62044498703</v>
      </c>
      <c r="P189" s="25">
        <f t="shared" si="450"/>
        <v>492158.32341085264</v>
      </c>
      <c r="Q189" s="25">
        <f t="shared" si="450"/>
        <v>-282851.09860465111</v>
      </c>
      <c r="R189" s="95">
        <f t="shared" si="468"/>
        <v>1408622</v>
      </c>
      <c r="S189" s="25">
        <f t="shared" si="469"/>
        <v>277974</v>
      </c>
      <c r="T189" s="25">
        <f t="shared" si="393"/>
        <v>1418522.2143234741</v>
      </c>
      <c r="U189" s="25">
        <f t="shared" si="394"/>
        <v>776443.85114146117</v>
      </c>
      <c r="W189" s="25">
        <f t="shared" si="461"/>
        <v>13680349</v>
      </c>
      <c r="X189" s="157">
        <f t="shared" si="470"/>
        <v>-0.10974165075457232</v>
      </c>
      <c r="Y189" s="25">
        <f t="shared" si="402"/>
        <v>2370804.4817000004</v>
      </c>
      <c r="DI189" s="6"/>
      <c r="DU189" s="55"/>
      <c r="GF189" s="6"/>
      <c r="GH189" s="180"/>
      <c r="GT189" s="6"/>
      <c r="GY189" s="53"/>
      <c r="GZ189" s="182"/>
    </row>
    <row r="190" spans="1:208" ht="12" customHeight="1">
      <c r="A190" s="24">
        <v>36373</v>
      </c>
      <c r="B190" s="95">
        <f t="shared" si="462"/>
        <v>1384765</v>
      </c>
      <c r="C190" s="48">
        <f t="shared" si="463"/>
        <v>231979</v>
      </c>
      <c r="D190" s="25">
        <f t="shared" si="459"/>
        <v>687425</v>
      </c>
      <c r="E190" s="25">
        <f t="shared" si="464"/>
        <v>80055.583333333328</v>
      </c>
      <c r="F190" s="48">
        <f t="shared" si="381"/>
        <v>115334.13333333333</v>
      </c>
      <c r="G190" s="48">
        <f t="shared" si="382"/>
        <v>194212.71993571735</v>
      </c>
      <c r="H190" s="25">
        <f t="shared" si="465"/>
        <v>960667</v>
      </c>
      <c r="I190" s="25">
        <f t="shared" si="466"/>
        <v>1073965</v>
      </c>
      <c r="J190" s="25">
        <f t="shared" si="471"/>
        <v>-113298</v>
      </c>
      <c r="K190" s="25"/>
      <c r="L190" s="25">
        <f t="shared" si="467"/>
        <v>231505</v>
      </c>
      <c r="M190" s="48">
        <f t="shared" si="383"/>
        <v>198901.85</v>
      </c>
      <c r="N190" s="61">
        <f t="shared" si="384"/>
        <v>503759.57320476801</v>
      </c>
      <c r="O190" s="48">
        <f t="shared" si="385"/>
        <v>-273091.3065381014</v>
      </c>
      <c r="P190" s="25">
        <f t="shared" si="450"/>
        <v>492158.32341085264</v>
      </c>
      <c r="Q190" s="25">
        <f t="shared" si="450"/>
        <v>-282851.09860465111</v>
      </c>
      <c r="R190" s="95">
        <f t="shared" si="468"/>
        <v>1384765</v>
      </c>
      <c r="S190" s="25">
        <f t="shared" si="469"/>
        <v>23857</v>
      </c>
      <c r="T190" s="25">
        <f t="shared" si="393"/>
        <v>1418522.2143234741</v>
      </c>
      <c r="U190" s="25">
        <f t="shared" si="394"/>
        <v>776443.85114146117</v>
      </c>
      <c r="W190" s="25">
        <f t="shared" si="461"/>
        <v>14249051</v>
      </c>
      <c r="X190" s="157">
        <f t="shared" si="470"/>
        <v>-3.7086466136197746E-2</v>
      </c>
      <c r="Y190" s="25">
        <f t="shared" si="402"/>
        <v>2469360.5383000001</v>
      </c>
      <c r="DI190" s="6"/>
      <c r="DU190" s="55"/>
      <c r="GF190" s="6"/>
      <c r="GH190" s="180"/>
      <c r="GT190" s="6"/>
      <c r="GY190" s="53"/>
      <c r="GZ190" s="182"/>
    </row>
    <row r="191" spans="1:208" ht="12" customHeight="1">
      <c r="A191" s="24">
        <v>36404</v>
      </c>
      <c r="B191" s="95">
        <f t="shared" si="462"/>
        <v>1259290</v>
      </c>
      <c r="C191" s="48">
        <f>AQ11</f>
        <v>229830</v>
      </c>
      <c r="D191" s="25">
        <f t="shared" ref="D191:D197" si="472">C191+C190+C189</f>
        <v>462283</v>
      </c>
      <c r="E191" s="25">
        <f t="shared" ref="E191:E196" si="473">AVERAGE(C180:C191)</f>
        <v>98737.166666666672</v>
      </c>
      <c r="F191" s="48">
        <f t="shared" si="381"/>
        <v>126129.28333333334</v>
      </c>
      <c r="G191" s="48">
        <f t="shared" si="382"/>
        <v>181668.22043374134</v>
      </c>
      <c r="H191" s="25">
        <f t="shared" ref="H191:H196" si="474">SUM(C180:C191)</f>
        <v>1184846</v>
      </c>
      <c r="I191" s="25">
        <f t="shared" ref="I191:I197" si="475">H179</f>
        <v>964195</v>
      </c>
      <c r="J191" s="25">
        <f t="shared" si="471"/>
        <v>220651</v>
      </c>
      <c r="K191" s="25"/>
      <c r="L191" s="25">
        <f t="shared" ref="L191:L196" si="476">((C190-C191)^2)^0.5</f>
        <v>2149</v>
      </c>
      <c r="M191" s="48">
        <f t="shared" si="383"/>
        <v>193812.75</v>
      </c>
      <c r="N191" s="61">
        <f t="shared" si="384"/>
        <v>489465.72420081601</v>
      </c>
      <c r="O191" s="48">
        <f t="shared" si="385"/>
        <v>-237207.15753414936</v>
      </c>
      <c r="P191" s="25">
        <f t="shared" si="450"/>
        <v>492158.32341085264</v>
      </c>
      <c r="Q191" s="25">
        <f t="shared" si="450"/>
        <v>-282851.09860465111</v>
      </c>
      <c r="R191" s="95">
        <f t="shared" si="468"/>
        <v>1259290</v>
      </c>
      <c r="S191" s="25">
        <f t="shared" ref="S191:S197" si="477">IF(R191&gt;0,ABS(R190-R191)," ")</f>
        <v>125475</v>
      </c>
      <c r="T191" s="25">
        <f t="shared" si="393"/>
        <v>1418522.2143234741</v>
      </c>
      <c r="U191" s="25">
        <f t="shared" si="394"/>
        <v>776443.85114146117</v>
      </c>
      <c r="W191" s="25">
        <f t="shared" ref="W191:W196" si="478">SUM(R180:R191)</f>
        <v>14504026</v>
      </c>
      <c r="X191" s="157">
        <f t="shared" ref="X191:X197" si="479">(W191-W179)/W179</f>
        <v>-8.9907418282707836E-3</v>
      </c>
      <c r="Y191" s="25">
        <f t="shared" si="402"/>
        <v>2513547.7058000001</v>
      </c>
      <c r="DI191" s="6"/>
      <c r="DU191" s="55"/>
      <c r="GF191" s="6"/>
      <c r="GH191" s="180"/>
      <c r="GT191" s="6"/>
      <c r="GY191" s="53"/>
      <c r="GZ191" s="182"/>
    </row>
    <row r="192" spans="1:208" ht="12" customHeight="1">
      <c r="A192" s="24">
        <v>36434</v>
      </c>
      <c r="B192" s="95">
        <f t="shared" si="462"/>
        <v>1196138</v>
      </c>
      <c r="C192" s="48">
        <f>AQ12</f>
        <v>-38537</v>
      </c>
      <c r="D192" s="25">
        <f t="shared" si="472"/>
        <v>423272</v>
      </c>
      <c r="E192" s="25">
        <f t="shared" si="473"/>
        <v>100717.25</v>
      </c>
      <c r="F192" s="48">
        <f t="shared" ref="F192:F255" si="480">IF(B192&lt;&gt;"",AVERAGE(C133:C192),"")</f>
        <v>123663.43333333333</v>
      </c>
      <c r="G192" s="48">
        <f t="shared" ref="G192:G255" si="481">IF(B192&lt;&gt;"",STDEV(C133:C192),"")</f>
        <v>182898.8771181966</v>
      </c>
      <c r="H192" s="25">
        <f t="shared" si="474"/>
        <v>1208607</v>
      </c>
      <c r="I192" s="25">
        <f t="shared" si="475"/>
        <v>306151</v>
      </c>
      <c r="J192" s="25">
        <f t="shared" ref="J192:J197" si="482">H192-I192</f>
        <v>902456</v>
      </c>
      <c r="K192" s="25"/>
      <c r="L192" s="25">
        <f t="shared" si="476"/>
        <v>268367</v>
      </c>
      <c r="M192" s="48">
        <f t="shared" ref="M192:M255" si="483">IF(C192&lt;&gt;"",AVERAGE(L133:L192),"")</f>
        <v>189497.31666666668</v>
      </c>
      <c r="N192" s="61">
        <f t="shared" ref="N192:N255" si="484">IF(B192&lt;&gt;"",F192+$N$1*G192,"")</f>
        <v>489461.18756972655</v>
      </c>
      <c r="O192" s="48">
        <f t="shared" ref="O192:O255" si="485">IF(B192&lt;&gt;"",F192-$N$1*G192,"")</f>
        <v>-242134.32090305985</v>
      </c>
      <c r="P192" s="25">
        <f t="shared" ref="P192:Q211" si="486">P386</f>
        <v>492158.32341085264</v>
      </c>
      <c r="Q192" s="25">
        <f t="shared" si="486"/>
        <v>-282851.09860465111</v>
      </c>
      <c r="R192" s="95">
        <f t="shared" si="468"/>
        <v>1196138</v>
      </c>
      <c r="S192" s="25">
        <f t="shared" si="477"/>
        <v>63152</v>
      </c>
      <c r="T192" s="25">
        <f t="shared" si="393"/>
        <v>1418522.2143234741</v>
      </c>
      <c r="U192" s="25">
        <f t="shared" si="394"/>
        <v>776443.85114146117</v>
      </c>
      <c r="W192" s="25">
        <f t="shared" si="478"/>
        <v>14629575</v>
      </c>
      <c r="X192" s="157">
        <f t="shared" si="479"/>
        <v>5.4131172169552162E-2</v>
      </c>
      <c r="Y192" s="25">
        <f t="shared" si="402"/>
        <v>2535305.3475000001</v>
      </c>
      <c r="DI192" s="6"/>
      <c r="DU192" s="55"/>
      <c r="GF192" s="6"/>
      <c r="GH192" s="180"/>
      <c r="GT192" s="6"/>
      <c r="GY192" s="53"/>
      <c r="GZ192" s="182"/>
    </row>
    <row r="193" spans="1:208" ht="12" customHeight="1">
      <c r="A193" s="24">
        <v>36465</v>
      </c>
      <c r="B193" s="95">
        <f t="shared" si="462"/>
        <v>1257326</v>
      </c>
      <c r="C193" s="48">
        <f>AQ13</f>
        <v>118859</v>
      </c>
      <c r="D193" s="25">
        <f t="shared" si="472"/>
        <v>310152</v>
      </c>
      <c r="E193" s="25">
        <f t="shared" si="473"/>
        <v>96676.5</v>
      </c>
      <c r="F193" s="48">
        <f t="shared" si="480"/>
        <v>123187.3</v>
      </c>
      <c r="G193" s="48">
        <f t="shared" si="481"/>
        <v>182873.14901071429</v>
      </c>
      <c r="H193" s="25">
        <f t="shared" si="474"/>
        <v>1160118</v>
      </c>
      <c r="I193" s="25">
        <f t="shared" si="475"/>
        <v>420588</v>
      </c>
      <c r="J193" s="25">
        <f t="shared" si="482"/>
        <v>739530</v>
      </c>
      <c r="K193" s="25"/>
      <c r="L193" s="25">
        <f t="shared" si="476"/>
        <v>157396</v>
      </c>
      <c r="M193" s="48">
        <f t="shared" si="483"/>
        <v>191487.03333333333</v>
      </c>
      <c r="N193" s="61">
        <f t="shared" si="484"/>
        <v>488933.59802142857</v>
      </c>
      <c r="O193" s="48">
        <f t="shared" si="485"/>
        <v>-242558.99802142859</v>
      </c>
      <c r="P193" s="25">
        <f t="shared" si="486"/>
        <v>492158.32341085264</v>
      </c>
      <c r="Q193" s="25">
        <f t="shared" si="486"/>
        <v>-282851.09860465111</v>
      </c>
      <c r="R193" s="95">
        <f t="shared" si="468"/>
        <v>1257326</v>
      </c>
      <c r="S193" s="25">
        <f t="shared" si="477"/>
        <v>61188</v>
      </c>
      <c r="T193" s="25">
        <f t="shared" si="393"/>
        <v>1418522.2143234741</v>
      </c>
      <c r="U193" s="25">
        <f t="shared" si="394"/>
        <v>776443.85114146117</v>
      </c>
      <c r="W193" s="25">
        <f t="shared" si="478"/>
        <v>14573621</v>
      </c>
      <c r="X193" s="157">
        <f t="shared" si="479"/>
        <v>3.9167597549457291E-2</v>
      </c>
      <c r="Y193" s="25">
        <f t="shared" si="402"/>
        <v>2525608.5193000003</v>
      </c>
      <c r="DI193" s="6"/>
      <c r="DU193" s="55"/>
      <c r="GF193" s="6"/>
      <c r="GH193" s="180"/>
      <c r="GT193" s="6"/>
      <c r="GY193" s="53"/>
      <c r="GZ193" s="182"/>
    </row>
    <row r="194" spans="1:208" ht="12" customHeight="1">
      <c r="A194" s="563">
        <v>36495</v>
      </c>
      <c r="B194" s="626">
        <f t="shared" si="462"/>
        <v>1186632</v>
      </c>
      <c r="C194" s="565">
        <f>AQ14</f>
        <v>-280000</v>
      </c>
      <c r="D194" s="121">
        <f t="shared" si="472"/>
        <v>-199678</v>
      </c>
      <c r="E194" s="121">
        <f t="shared" si="473"/>
        <v>79341.333333333328</v>
      </c>
      <c r="F194" s="48">
        <f t="shared" si="480"/>
        <v>118378.63333333333</v>
      </c>
      <c r="G194" s="48">
        <f t="shared" si="481"/>
        <v>189608.72922951824</v>
      </c>
      <c r="H194" s="121">
        <f t="shared" si="474"/>
        <v>952096</v>
      </c>
      <c r="I194" s="121">
        <f t="shared" si="475"/>
        <v>528302</v>
      </c>
      <c r="J194" s="121">
        <f t="shared" si="482"/>
        <v>423794</v>
      </c>
      <c r="K194" s="121"/>
      <c r="L194" s="121">
        <f t="shared" si="476"/>
        <v>398859</v>
      </c>
      <c r="M194" s="48">
        <f t="shared" si="483"/>
        <v>195819.56666666668</v>
      </c>
      <c r="N194" s="61">
        <f t="shared" si="484"/>
        <v>497596.09179236984</v>
      </c>
      <c r="O194" s="48">
        <f t="shared" si="485"/>
        <v>-260838.82512570315</v>
      </c>
      <c r="P194" s="121">
        <f t="shared" si="486"/>
        <v>492158.32341085264</v>
      </c>
      <c r="Q194" s="121">
        <f t="shared" si="486"/>
        <v>-282851.09860465111</v>
      </c>
      <c r="R194" s="626">
        <f t="shared" si="468"/>
        <v>1186632</v>
      </c>
      <c r="S194" s="121">
        <f t="shared" si="477"/>
        <v>70694</v>
      </c>
      <c r="T194" s="121">
        <f t="shared" si="393"/>
        <v>1418522.2143234741</v>
      </c>
      <c r="U194" s="121">
        <f t="shared" si="394"/>
        <v>776443.85114146117</v>
      </c>
      <c r="V194" s="52"/>
      <c r="W194" s="121">
        <f t="shared" si="478"/>
        <v>14675000</v>
      </c>
      <c r="X194" s="567">
        <f t="shared" si="479"/>
        <v>5.8732719660345559E-2</v>
      </c>
      <c r="Y194" s="25">
        <f t="shared" si="402"/>
        <v>2543177.5</v>
      </c>
      <c r="DI194" s="6"/>
      <c r="DU194" s="55"/>
      <c r="GF194" s="6"/>
      <c r="GH194" s="180"/>
      <c r="GT194" s="6"/>
      <c r="GY194" s="53"/>
      <c r="GZ194" s="182"/>
    </row>
    <row r="195" spans="1:208" ht="12" customHeight="1">
      <c r="A195" s="24">
        <v>36526</v>
      </c>
      <c r="B195" s="95">
        <f t="shared" ref="B195:B206" si="487">BY3</f>
        <v>1036928</v>
      </c>
      <c r="C195" s="48">
        <f t="shared" ref="C195:C200" si="488">AR3</f>
        <v>-52970</v>
      </c>
      <c r="D195" s="25">
        <f t="shared" si="472"/>
        <v>-214111</v>
      </c>
      <c r="E195" s="25">
        <f t="shared" si="473"/>
        <v>89695.5</v>
      </c>
      <c r="F195" s="48">
        <f t="shared" si="480"/>
        <v>113921.08333333333</v>
      </c>
      <c r="G195" s="48">
        <f t="shared" si="481"/>
        <v>190453.02199054739</v>
      </c>
      <c r="H195" s="25">
        <f t="shared" si="474"/>
        <v>1076346</v>
      </c>
      <c r="I195" s="25">
        <f t="shared" si="475"/>
        <v>420991</v>
      </c>
      <c r="J195" s="25">
        <f t="shared" si="482"/>
        <v>655355</v>
      </c>
      <c r="K195" s="25"/>
      <c r="L195" s="25">
        <f t="shared" si="476"/>
        <v>227030</v>
      </c>
      <c r="M195" s="48">
        <f t="shared" si="483"/>
        <v>196170.68333333332</v>
      </c>
      <c r="N195" s="61">
        <f t="shared" si="484"/>
        <v>494827.1273144281</v>
      </c>
      <c r="O195" s="48">
        <f t="shared" si="485"/>
        <v>-266984.96064776147</v>
      </c>
      <c r="P195" s="25">
        <f t="shared" si="486"/>
        <v>492158.32341085264</v>
      </c>
      <c r="Q195" s="25">
        <f t="shared" si="486"/>
        <v>-282851.09860465111</v>
      </c>
      <c r="R195" s="95">
        <f t="shared" ref="R195:R206" si="489">BY3</f>
        <v>1036928</v>
      </c>
      <c r="S195" s="25">
        <f t="shared" si="477"/>
        <v>149704</v>
      </c>
      <c r="T195" s="25">
        <f t="shared" si="393"/>
        <v>1418522.2143234741</v>
      </c>
      <c r="U195" s="25">
        <f t="shared" si="394"/>
        <v>776443.85114146117</v>
      </c>
      <c r="W195" s="25">
        <f t="shared" si="478"/>
        <v>15011442</v>
      </c>
      <c r="X195" s="157">
        <f t="shared" si="479"/>
        <v>9.7418280896009679E-2</v>
      </c>
      <c r="Y195" s="25">
        <f t="shared" si="402"/>
        <v>2601482.8986</v>
      </c>
      <c r="DI195" s="6"/>
      <c r="DU195" s="55"/>
      <c r="GF195" s="6"/>
      <c r="GH195" s="180"/>
      <c r="GT195" s="6"/>
      <c r="GY195" s="53"/>
      <c r="GZ195" s="182"/>
    </row>
    <row r="196" spans="1:208" ht="14" customHeight="1">
      <c r="A196" s="24">
        <v>36557</v>
      </c>
      <c r="B196" s="95">
        <f t="shared" si="487"/>
        <v>909860</v>
      </c>
      <c r="C196" s="48">
        <f t="shared" si="488"/>
        <v>-220289</v>
      </c>
      <c r="D196" s="25">
        <f t="shared" si="472"/>
        <v>-553259</v>
      </c>
      <c r="E196" s="25">
        <f t="shared" si="473"/>
        <v>68964.583333333328</v>
      </c>
      <c r="F196" s="48">
        <f t="shared" si="480"/>
        <v>111269</v>
      </c>
      <c r="G196" s="48">
        <f t="shared" si="481"/>
        <v>194007.18325727974</v>
      </c>
      <c r="H196" s="25">
        <f t="shared" si="474"/>
        <v>827575</v>
      </c>
      <c r="I196" s="25">
        <f t="shared" si="475"/>
        <v>417198</v>
      </c>
      <c r="J196" s="25">
        <f t="shared" si="482"/>
        <v>410377</v>
      </c>
      <c r="K196" s="25">
        <f>AVERAGE(C194+C195+C196)</f>
        <v>-553259</v>
      </c>
      <c r="L196" s="25">
        <f t="shared" si="476"/>
        <v>167319</v>
      </c>
      <c r="M196" s="48">
        <f t="shared" si="483"/>
        <v>194365.21666666667</v>
      </c>
      <c r="N196" s="61">
        <f t="shared" si="484"/>
        <v>499283.36651455949</v>
      </c>
      <c r="O196" s="48">
        <f t="shared" si="485"/>
        <v>-276745.36651455949</v>
      </c>
      <c r="P196" s="25">
        <f t="shared" si="486"/>
        <v>492158.32341085264</v>
      </c>
      <c r="Q196" s="25">
        <f t="shared" si="486"/>
        <v>-282851.09860465111</v>
      </c>
      <c r="R196" s="95">
        <f t="shared" si="489"/>
        <v>909860</v>
      </c>
      <c r="S196" s="25">
        <f t="shared" si="477"/>
        <v>127068</v>
      </c>
      <c r="T196" s="25">
        <f t="shared" si="393"/>
        <v>1418522.2143234741</v>
      </c>
      <c r="U196" s="25">
        <f t="shared" si="394"/>
        <v>776443.85114146117</v>
      </c>
      <c r="W196" s="25">
        <f t="shared" si="478"/>
        <v>14964161</v>
      </c>
      <c r="X196" s="157">
        <f t="shared" si="479"/>
        <v>0.10333574829823131</v>
      </c>
      <c r="Y196" s="25">
        <f t="shared" si="402"/>
        <v>2593289.1013000002</v>
      </c>
      <c r="DI196" s="6"/>
      <c r="DU196" s="55"/>
      <c r="GF196" s="6"/>
      <c r="GH196" s="180"/>
      <c r="GT196" s="6"/>
      <c r="GY196" s="53"/>
      <c r="GZ196" s="182"/>
    </row>
    <row r="197" spans="1:208" ht="12" customHeight="1">
      <c r="A197" s="24">
        <v>36585</v>
      </c>
      <c r="B197" s="95">
        <f t="shared" si="487"/>
        <v>1603240</v>
      </c>
      <c r="C197" s="48">
        <f t="shared" si="488"/>
        <v>324211</v>
      </c>
      <c r="D197" s="25">
        <f t="shared" si="472"/>
        <v>50952</v>
      </c>
      <c r="E197" s="25">
        <f t="shared" ref="E197:E203" si="490">AVERAGE(C186:C197)</f>
        <v>96653.916666666672</v>
      </c>
      <c r="F197" s="48">
        <f t="shared" si="480"/>
        <v>112452.63333333333</v>
      </c>
      <c r="G197" s="48">
        <f t="shared" si="481"/>
        <v>195101.28862156571</v>
      </c>
      <c r="H197" s="25">
        <f t="shared" ref="H197:H203" si="491">SUM(C186:C197)</f>
        <v>1159847</v>
      </c>
      <c r="I197" s="25">
        <f t="shared" si="475"/>
        <v>-114099</v>
      </c>
      <c r="J197" s="25">
        <f t="shared" si="482"/>
        <v>1273946</v>
      </c>
      <c r="K197" s="25"/>
      <c r="L197" s="25">
        <f t="shared" ref="L197:L203" si="492">((C196-C197)^2)^0.5</f>
        <v>544500</v>
      </c>
      <c r="M197" s="48">
        <f t="shared" si="483"/>
        <v>198200.93333333332</v>
      </c>
      <c r="N197" s="61">
        <f t="shared" si="484"/>
        <v>502655.21057646477</v>
      </c>
      <c r="O197" s="48">
        <f t="shared" si="485"/>
        <v>-277749.94390979805</v>
      </c>
      <c r="P197" s="25">
        <f t="shared" si="486"/>
        <v>492158.32341085264</v>
      </c>
      <c r="Q197" s="25">
        <f t="shared" si="486"/>
        <v>-282851.09860465111</v>
      </c>
      <c r="R197" s="95">
        <f t="shared" si="489"/>
        <v>1603240</v>
      </c>
      <c r="S197" s="25">
        <f t="shared" si="477"/>
        <v>693380</v>
      </c>
      <c r="T197" s="25">
        <f t="shared" si="393"/>
        <v>1418522.2143234741</v>
      </c>
      <c r="U197" s="25">
        <f t="shared" si="394"/>
        <v>776443.85114146117</v>
      </c>
      <c r="W197" s="25">
        <f t="shared" ref="W197:W203" si="493">SUM(R186:R197)</f>
        <v>15556643</v>
      </c>
      <c r="X197" s="157">
        <f t="shared" si="479"/>
        <v>0.20901061151290201</v>
      </c>
      <c r="Y197" s="25">
        <f t="shared" si="402"/>
        <v>2695966.2319</v>
      </c>
      <c r="DI197" s="6"/>
      <c r="DU197" s="55"/>
      <c r="GF197" s="6"/>
      <c r="GH197" s="180"/>
      <c r="GT197" s="6"/>
      <c r="GY197" s="53"/>
      <c r="GZ197" s="182"/>
    </row>
    <row r="198" spans="1:208" ht="14" customHeight="1">
      <c r="A198" s="231">
        <v>36619</v>
      </c>
      <c r="B198" s="95">
        <f t="shared" si="487"/>
        <v>1118864</v>
      </c>
      <c r="C198" s="48">
        <f t="shared" si="488"/>
        <v>-123434</v>
      </c>
      <c r="D198" s="25">
        <f t="shared" ref="D198:D203" si="494">C198+C197+C196</f>
        <v>-19512</v>
      </c>
      <c r="E198" s="25">
        <f t="shared" si="490"/>
        <v>68372.333333333328</v>
      </c>
      <c r="F198" s="48">
        <f t="shared" si="480"/>
        <v>109541.41666666667</v>
      </c>
      <c r="G198" s="48">
        <f t="shared" si="481"/>
        <v>197320.74639077685</v>
      </c>
      <c r="H198" s="25">
        <f t="shared" si="491"/>
        <v>820468</v>
      </c>
      <c r="I198" s="25">
        <f t="shared" ref="I198:I203" si="495">H186</f>
        <v>85082</v>
      </c>
      <c r="J198" s="25">
        <f t="shared" ref="J198:J203" si="496">H198-I198</f>
        <v>735386</v>
      </c>
      <c r="K198" s="25"/>
      <c r="L198" s="25">
        <f t="shared" si="492"/>
        <v>447645</v>
      </c>
      <c r="M198" s="48">
        <f t="shared" si="483"/>
        <v>202295.78333333333</v>
      </c>
      <c r="N198" s="61">
        <f t="shared" si="484"/>
        <v>504182.90944822039</v>
      </c>
      <c r="O198" s="48">
        <f t="shared" si="485"/>
        <v>-285100.07611488702</v>
      </c>
      <c r="P198" s="25">
        <f t="shared" si="486"/>
        <v>492158.32341085264</v>
      </c>
      <c r="Q198" s="25">
        <f t="shared" si="486"/>
        <v>-282851.09860465111</v>
      </c>
      <c r="R198" s="95">
        <f t="shared" si="489"/>
        <v>1118864</v>
      </c>
      <c r="S198" s="25">
        <f t="shared" ref="S198:S203" si="497">IF(R198&gt;0,ABS(R197-R198)," ")</f>
        <v>484376</v>
      </c>
      <c r="T198" s="25">
        <f t="shared" si="393"/>
        <v>1418522.2143234741</v>
      </c>
      <c r="U198" s="25">
        <f t="shared" si="394"/>
        <v>776443.85114146117</v>
      </c>
      <c r="W198" s="25">
        <f t="shared" si="493"/>
        <v>15395744</v>
      </c>
      <c r="X198" s="157">
        <f t="shared" ref="X198:X203" si="498">(W198-W186)/W186</f>
        <v>0.19225630746289277</v>
      </c>
      <c r="Y198" s="25">
        <f t="shared" si="402"/>
        <v>2668082.4352000002</v>
      </c>
      <c r="DI198" s="6"/>
      <c r="DU198" s="55"/>
      <c r="GF198" s="6"/>
      <c r="GH198" s="180"/>
      <c r="GT198" s="6"/>
      <c r="GY198" s="53"/>
      <c r="GZ198" s="182"/>
    </row>
    <row r="199" spans="1:208" ht="14" customHeight="1">
      <c r="A199" s="231">
        <v>36650</v>
      </c>
      <c r="B199" s="95">
        <f t="shared" si="487"/>
        <v>1107311</v>
      </c>
      <c r="C199" s="48">
        <f t="shared" si="488"/>
        <v>-121704</v>
      </c>
      <c r="D199" s="25">
        <f t="shared" si="494"/>
        <v>79073</v>
      </c>
      <c r="E199" s="25">
        <f t="shared" si="490"/>
        <v>43615.916666666664</v>
      </c>
      <c r="F199" s="48">
        <f t="shared" si="480"/>
        <v>105029.1</v>
      </c>
      <c r="G199" s="48">
        <f t="shared" si="481"/>
        <v>199486.04215729743</v>
      </c>
      <c r="H199" s="25">
        <f t="shared" si="491"/>
        <v>523391</v>
      </c>
      <c r="I199" s="25">
        <f t="shared" si="495"/>
        <v>-147509</v>
      </c>
      <c r="J199" s="25">
        <f t="shared" si="496"/>
        <v>670900</v>
      </c>
      <c r="K199" s="25"/>
      <c r="L199" s="25">
        <f t="shared" si="492"/>
        <v>1730</v>
      </c>
      <c r="M199" s="48">
        <f t="shared" si="483"/>
        <v>200694.68333333332</v>
      </c>
      <c r="N199" s="61">
        <f t="shared" si="484"/>
        <v>504001.18431459484</v>
      </c>
      <c r="O199" s="48">
        <f t="shared" si="485"/>
        <v>-293942.98431459488</v>
      </c>
      <c r="P199" s="25">
        <f t="shared" si="486"/>
        <v>492158.32341085264</v>
      </c>
      <c r="Q199" s="25">
        <f t="shared" si="486"/>
        <v>-282851.09860465111</v>
      </c>
      <c r="R199" s="95">
        <f t="shared" si="489"/>
        <v>1107311</v>
      </c>
      <c r="S199" s="25">
        <f t="shared" si="497"/>
        <v>11553</v>
      </c>
      <c r="T199" s="25">
        <f t="shared" si="393"/>
        <v>1418522.2143234741</v>
      </c>
      <c r="U199" s="25">
        <f t="shared" si="394"/>
        <v>776443.85114146117</v>
      </c>
      <c r="W199" s="25">
        <f t="shared" si="493"/>
        <v>15155572</v>
      </c>
      <c r="X199" s="157">
        <f t="shared" si="498"/>
        <v>0.19117733630732614</v>
      </c>
      <c r="Y199" s="25">
        <f t="shared" si="402"/>
        <v>2626460.6276000002</v>
      </c>
      <c r="DI199" s="6"/>
      <c r="DU199" s="55"/>
      <c r="GF199" s="6"/>
      <c r="GH199" s="180"/>
      <c r="GT199" s="6"/>
      <c r="GY199" s="53"/>
      <c r="GZ199" s="182"/>
    </row>
    <row r="200" spans="1:208" ht="14" customHeight="1">
      <c r="A200" s="231">
        <v>36682</v>
      </c>
      <c r="B200" s="95">
        <f t="shared" si="487"/>
        <v>1625491</v>
      </c>
      <c r="C200" s="48">
        <f t="shared" si="488"/>
        <v>381530</v>
      </c>
      <c r="D200" s="25">
        <f t="shared" si="494"/>
        <v>136392</v>
      </c>
      <c r="E200" s="25">
        <f t="shared" si="490"/>
        <v>37495.75</v>
      </c>
      <c r="F200" s="48">
        <f t="shared" si="480"/>
        <v>110667.98333333334</v>
      </c>
      <c r="G200" s="48">
        <f t="shared" si="481"/>
        <v>202468.15605301538</v>
      </c>
      <c r="H200" s="25">
        <f t="shared" si="491"/>
        <v>449949</v>
      </c>
      <c r="I200" s="25">
        <f t="shared" si="495"/>
        <v>242623</v>
      </c>
      <c r="J200" s="25">
        <f t="shared" si="496"/>
        <v>207326</v>
      </c>
      <c r="K200" s="25"/>
      <c r="L200" s="25">
        <f t="shared" si="492"/>
        <v>503234</v>
      </c>
      <c r="M200" s="48">
        <f t="shared" si="483"/>
        <v>207317.95</v>
      </c>
      <c r="N200" s="61">
        <f t="shared" si="484"/>
        <v>515604.2954393641</v>
      </c>
      <c r="O200" s="48">
        <f t="shared" si="485"/>
        <v>-294268.32877269742</v>
      </c>
      <c r="P200" s="25">
        <f t="shared" si="486"/>
        <v>492158.32341085264</v>
      </c>
      <c r="Q200" s="25">
        <f t="shared" si="486"/>
        <v>-282851.09860465111</v>
      </c>
      <c r="R200" s="95">
        <f t="shared" si="489"/>
        <v>1625491</v>
      </c>
      <c r="S200" s="25">
        <f t="shared" si="497"/>
        <v>518180</v>
      </c>
      <c r="T200" s="25">
        <f t="shared" si="393"/>
        <v>1418522.2143234741</v>
      </c>
      <c r="U200" s="25">
        <f t="shared" si="394"/>
        <v>776443.85114146117</v>
      </c>
      <c r="W200" s="25">
        <f t="shared" si="493"/>
        <v>15094467</v>
      </c>
      <c r="X200" s="157">
        <f t="shared" si="498"/>
        <v>0.15068770406941601</v>
      </c>
      <c r="Y200" s="25">
        <f t="shared" si="402"/>
        <v>2615871.1311000003</v>
      </c>
      <c r="DI200" s="6"/>
      <c r="DU200" s="55"/>
      <c r="GF200" s="6"/>
      <c r="GH200" s="180"/>
      <c r="GT200" s="6"/>
      <c r="GY200" s="53"/>
      <c r="GZ200" s="182"/>
    </row>
    <row r="201" spans="1:208">
      <c r="A201" s="231">
        <v>36736</v>
      </c>
      <c r="B201" s="95">
        <f t="shared" si="487"/>
        <v>1013194</v>
      </c>
      <c r="C201" s="48">
        <f t="shared" ref="C201:C206" si="499">AR9</f>
        <v>-372710</v>
      </c>
      <c r="D201" s="25">
        <f t="shared" si="494"/>
        <v>-112884</v>
      </c>
      <c r="E201" s="25">
        <f t="shared" si="490"/>
        <v>6397.083333333333</v>
      </c>
      <c r="F201" s="48">
        <f t="shared" si="480"/>
        <v>101439.56666666667</v>
      </c>
      <c r="G201" s="48">
        <f t="shared" si="481"/>
        <v>211620.32133695995</v>
      </c>
      <c r="H201" s="25">
        <f t="shared" si="491"/>
        <v>76765</v>
      </c>
      <c r="I201" s="25">
        <f t="shared" si="495"/>
        <v>476777</v>
      </c>
      <c r="J201" s="25">
        <f t="shared" si="496"/>
        <v>-400012</v>
      </c>
      <c r="K201" s="25"/>
      <c r="L201" s="25">
        <f t="shared" si="492"/>
        <v>754240</v>
      </c>
      <c r="M201" s="48">
        <f t="shared" si="483"/>
        <v>217591.98333333334</v>
      </c>
      <c r="N201" s="61">
        <f t="shared" si="484"/>
        <v>524680.20934058656</v>
      </c>
      <c r="O201" s="48">
        <f t="shared" si="485"/>
        <v>-321801.07600725326</v>
      </c>
      <c r="P201" s="25">
        <f t="shared" si="486"/>
        <v>492158.32341085264</v>
      </c>
      <c r="Q201" s="25">
        <f t="shared" si="486"/>
        <v>-282851.09860465111</v>
      </c>
      <c r="R201" s="95">
        <f t="shared" si="489"/>
        <v>1013194</v>
      </c>
      <c r="S201" s="25">
        <f t="shared" si="497"/>
        <v>612297</v>
      </c>
      <c r="T201" s="25">
        <f t="shared" si="393"/>
        <v>1418522.2143234741</v>
      </c>
      <c r="U201" s="25">
        <f t="shared" si="394"/>
        <v>776443.85114146117</v>
      </c>
      <c r="W201" s="25">
        <f t="shared" si="493"/>
        <v>14699039</v>
      </c>
      <c r="X201" s="157">
        <f t="shared" si="498"/>
        <v>7.4463743578471575E-2</v>
      </c>
      <c r="Y201" s="25">
        <f t="shared" si="402"/>
        <v>2547343.4587000003</v>
      </c>
      <c r="DI201" s="6"/>
      <c r="DU201" s="55"/>
      <c r="GF201" s="6"/>
      <c r="GH201" s="180"/>
      <c r="GT201" s="6"/>
      <c r="GY201" s="53"/>
      <c r="GZ201" s="182"/>
    </row>
    <row r="202" spans="1:208">
      <c r="A202" s="231">
        <v>36768</v>
      </c>
      <c r="B202" s="95">
        <f t="shared" si="487"/>
        <v>1043654</v>
      </c>
      <c r="C202" s="48">
        <f t="shared" si="499"/>
        <v>-126302</v>
      </c>
      <c r="D202" s="25">
        <f t="shared" si="494"/>
        <v>-117482</v>
      </c>
      <c r="E202" s="25">
        <f t="shared" si="490"/>
        <v>-23459.666666666668</v>
      </c>
      <c r="F202" s="48">
        <f t="shared" si="480"/>
        <v>97884.4</v>
      </c>
      <c r="G202" s="48">
        <f t="shared" si="481"/>
        <v>213648.93040117496</v>
      </c>
      <c r="H202" s="25">
        <f t="shared" si="491"/>
        <v>-281516</v>
      </c>
      <c r="I202" s="25">
        <f t="shared" si="495"/>
        <v>960667</v>
      </c>
      <c r="J202" s="25">
        <f t="shared" si="496"/>
        <v>-1242183</v>
      </c>
      <c r="K202" s="25"/>
      <c r="L202" s="25">
        <f t="shared" si="492"/>
        <v>246408</v>
      </c>
      <c r="M202" s="48">
        <f t="shared" si="483"/>
        <v>220132.33333333334</v>
      </c>
      <c r="N202" s="61">
        <f t="shared" si="484"/>
        <v>525182.26080234989</v>
      </c>
      <c r="O202" s="48">
        <f t="shared" si="485"/>
        <v>-329413.46080234996</v>
      </c>
      <c r="P202" s="25">
        <f t="shared" si="486"/>
        <v>492158.32341085264</v>
      </c>
      <c r="Q202" s="25">
        <f t="shared" si="486"/>
        <v>-282851.09860465111</v>
      </c>
      <c r="R202" s="95">
        <f t="shared" si="489"/>
        <v>1043654</v>
      </c>
      <c r="S202" s="25">
        <f t="shared" si="497"/>
        <v>30460</v>
      </c>
      <c r="T202" s="25">
        <f t="shared" si="393"/>
        <v>1418522.2143234741</v>
      </c>
      <c r="U202" s="25">
        <f t="shared" si="394"/>
        <v>776443.85114146117</v>
      </c>
      <c r="W202" s="25">
        <f t="shared" si="493"/>
        <v>14357928</v>
      </c>
      <c r="X202" s="157">
        <f t="shared" si="498"/>
        <v>7.641000091865767E-3</v>
      </c>
      <c r="Y202" s="25">
        <f t="shared" si="402"/>
        <v>2488228.9224</v>
      </c>
      <c r="DI202" s="6"/>
      <c r="DU202" s="55"/>
      <c r="GF202" s="6"/>
      <c r="GH202" s="180"/>
      <c r="GT202" s="6"/>
      <c r="GY202" s="53"/>
      <c r="GZ202" s="182"/>
    </row>
    <row r="203" spans="1:208">
      <c r="A203" s="231">
        <v>36798</v>
      </c>
      <c r="B203" s="95">
        <f t="shared" si="487"/>
        <v>1334438</v>
      </c>
      <c r="C203" s="48">
        <f t="shared" si="499"/>
        <v>240940</v>
      </c>
      <c r="D203" s="25">
        <f t="shared" si="494"/>
        <v>-258072</v>
      </c>
      <c r="E203" s="25">
        <f t="shared" si="490"/>
        <v>-22533.833333333332</v>
      </c>
      <c r="F203" s="48">
        <f t="shared" si="480"/>
        <v>99128.53333333334</v>
      </c>
      <c r="G203" s="48">
        <f t="shared" si="481"/>
        <v>214270.48070220687</v>
      </c>
      <c r="H203" s="25">
        <f t="shared" si="491"/>
        <v>-270406</v>
      </c>
      <c r="I203" s="25">
        <f t="shared" si="495"/>
        <v>1184846</v>
      </c>
      <c r="J203" s="25">
        <f t="shared" si="496"/>
        <v>-1455252</v>
      </c>
      <c r="K203" s="25"/>
      <c r="L203" s="25">
        <f t="shared" si="492"/>
        <v>367242</v>
      </c>
      <c r="M203" s="48">
        <f t="shared" si="483"/>
        <v>224931.63333333333</v>
      </c>
      <c r="N203" s="61">
        <f t="shared" si="484"/>
        <v>527669.49473774713</v>
      </c>
      <c r="O203" s="48">
        <f t="shared" si="485"/>
        <v>-329412.42807108042</v>
      </c>
      <c r="P203" s="25">
        <f t="shared" si="486"/>
        <v>492158.32341085264</v>
      </c>
      <c r="Q203" s="25">
        <f t="shared" si="486"/>
        <v>-282851.09860465111</v>
      </c>
      <c r="R203" s="95">
        <f t="shared" si="489"/>
        <v>1334438</v>
      </c>
      <c r="S203" s="25">
        <f t="shared" si="497"/>
        <v>290784</v>
      </c>
      <c r="T203" s="25">
        <f t="shared" ref="T203:T266" si="500">$R$317+1.88*$S$317</f>
        <v>1418522.2143234741</v>
      </c>
      <c r="U203" s="25">
        <f t="shared" ref="U203:U266" si="501">$R$317-1.88*$S$317</f>
        <v>776443.85114146117</v>
      </c>
      <c r="W203" s="25">
        <f t="shared" si="493"/>
        <v>14433076</v>
      </c>
      <c r="X203" s="157">
        <f t="shared" si="498"/>
        <v>-4.8917452299106472E-3</v>
      </c>
      <c r="Y203" s="25">
        <f t="shared" si="402"/>
        <v>2501252.0708000003</v>
      </c>
      <c r="DI203" s="6"/>
      <c r="DU203" s="55"/>
      <c r="GF203" s="6"/>
      <c r="GH203" s="180"/>
      <c r="GT203" s="6"/>
      <c r="GY203" s="53"/>
      <c r="GZ203" s="182"/>
    </row>
    <row r="204" spans="1:208">
      <c r="A204" s="231">
        <v>36828</v>
      </c>
      <c r="B204" s="95">
        <f t="shared" si="487"/>
        <v>1311722</v>
      </c>
      <c r="C204" s="48">
        <f t="shared" si="499"/>
        <v>184135</v>
      </c>
      <c r="D204" s="25">
        <f t="shared" ref="D204:D209" si="502">C204+C203+C202</f>
        <v>298773</v>
      </c>
      <c r="E204" s="25">
        <f t="shared" ref="E204:E209" si="503">AVERAGE(C193:C204)</f>
        <v>-3977.8333333333335</v>
      </c>
      <c r="F204" s="48">
        <f t="shared" si="480"/>
        <v>103273.75</v>
      </c>
      <c r="G204" s="48">
        <f t="shared" si="481"/>
        <v>213453.99203270749</v>
      </c>
      <c r="H204" s="25">
        <f t="shared" ref="H204:H209" si="504">SUM(C193:C204)</f>
        <v>-47734</v>
      </c>
      <c r="I204" s="25">
        <f t="shared" ref="I204:I209" si="505">H192</f>
        <v>1208607</v>
      </c>
      <c r="J204" s="25">
        <f t="shared" ref="J204:J209" si="506">H204-I204</f>
        <v>-1256341</v>
      </c>
      <c r="K204" s="25"/>
      <c r="L204" s="25">
        <f t="shared" ref="L204:L209" si="507">((C203-C204)^2)^0.5</f>
        <v>56805</v>
      </c>
      <c r="M204" s="48">
        <f t="shared" si="483"/>
        <v>222030.55</v>
      </c>
      <c r="N204" s="61">
        <f t="shared" si="484"/>
        <v>530181.73406541499</v>
      </c>
      <c r="O204" s="48">
        <f t="shared" si="485"/>
        <v>-323634.23406541499</v>
      </c>
      <c r="P204" s="25">
        <f t="shared" si="486"/>
        <v>492158.32341085264</v>
      </c>
      <c r="Q204" s="25">
        <f t="shared" si="486"/>
        <v>-282851.09860465111</v>
      </c>
      <c r="R204" s="95">
        <f t="shared" si="489"/>
        <v>1311722</v>
      </c>
      <c r="S204" s="25">
        <f t="shared" ref="S204:S209" si="508">IF(R204&gt;0,ABS(R203-R204)," ")</f>
        <v>22716</v>
      </c>
      <c r="T204" s="25">
        <f t="shared" si="500"/>
        <v>1418522.2143234741</v>
      </c>
      <c r="U204" s="25">
        <f t="shared" si="501"/>
        <v>776443.85114146117</v>
      </c>
      <c r="W204" s="25">
        <f t="shared" ref="W204:W209" si="509">SUM(R193:R204)</f>
        <v>14548660</v>
      </c>
      <c r="X204" s="157">
        <f t="shared" ref="X204:X209" si="510">(W204-W192)/W192</f>
        <v>-5.5309193876103713E-3</v>
      </c>
      <c r="Y204" s="25">
        <f t="shared" si="402"/>
        <v>2521282.7779999999</v>
      </c>
      <c r="DI204" s="6"/>
      <c r="DU204" s="55"/>
      <c r="GF204" s="6"/>
      <c r="GH204" s="180"/>
      <c r="GT204" s="6"/>
      <c r="GY204" s="53"/>
      <c r="GZ204" s="182"/>
    </row>
    <row r="205" spans="1:208">
      <c r="A205" s="231">
        <v>36859</v>
      </c>
      <c r="B205" s="95">
        <f t="shared" si="487"/>
        <v>894446</v>
      </c>
      <c r="C205" s="48">
        <f t="shared" si="499"/>
        <v>-147743</v>
      </c>
      <c r="D205" s="25">
        <f t="shared" si="502"/>
        <v>277332</v>
      </c>
      <c r="E205" s="25">
        <f t="shared" si="503"/>
        <v>-26194.666666666668</v>
      </c>
      <c r="F205" s="48">
        <f t="shared" si="480"/>
        <v>98936.516666666663</v>
      </c>
      <c r="G205" s="48">
        <f t="shared" si="481"/>
        <v>215893.47466100755</v>
      </c>
      <c r="H205" s="25">
        <f t="shared" si="504"/>
        <v>-314336</v>
      </c>
      <c r="I205" s="25">
        <f t="shared" si="505"/>
        <v>1160118</v>
      </c>
      <c r="J205" s="25">
        <f t="shared" si="506"/>
        <v>-1474454</v>
      </c>
      <c r="K205" s="25"/>
      <c r="L205" s="25">
        <f t="shared" si="507"/>
        <v>331878</v>
      </c>
      <c r="M205" s="48">
        <f t="shared" si="483"/>
        <v>224610.7</v>
      </c>
      <c r="N205" s="61">
        <f t="shared" si="484"/>
        <v>530723.46598868177</v>
      </c>
      <c r="O205" s="48">
        <f t="shared" si="485"/>
        <v>-332850.43265534844</v>
      </c>
      <c r="P205" s="25">
        <f t="shared" si="486"/>
        <v>492158.32341085264</v>
      </c>
      <c r="Q205" s="25">
        <f t="shared" si="486"/>
        <v>-282851.09860465111</v>
      </c>
      <c r="R205" s="95">
        <f t="shared" si="489"/>
        <v>894446</v>
      </c>
      <c r="S205" s="25">
        <f t="shared" si="508"/>
        <v>417276</v>
      </c>
      <c r="T205" s="25">
        <f t="shared" si="500"/>
        <v>1418522.2143234741</v>
      </c>
      <c r="U205" s="25">
        <f t="shared" si="501"/>
        <v>776443.85114146117</v>
      </c>
      <c r="W205" s="25">
        <f t="shared" si="509"/>
        <v>14185780</v>
      </c>
      <c r="X205" s="157">
        <f t="shared" si="510"/>
        <v>-2.6612535072786648E-2</v>
      </c>
      <c r="Y205" s="25">
        <f t="shared" si="402"/>
        <v>2458395.6740000001</v>
      </c>
      <c r="DI205" s="6"/>
      <c r="DU205" s="55"/>
      <c r="GF205" s="6"/>
      <c r="GH205" s="180"/>
      <c r="GT205" s="6"/>
      <c r="GY205" s="53"/>
      <c r="GZ205" s="182"/>
    </row>
    <row r="206" spans="1:208">
      <c r="A206" s="668">
        <v>36889</v>
      </c>
      <c r="B206" s="626">
        <f t="shared" si="487"/>
        <v>1010365</v>
      </c>
      <c r="C206" s="565">
        <f t="shared" si="499"/>
        <v>-218758</v>
      </c>
      <c r="D206" s="121">
        <f t="shared" si="502"/>
        <v>-182366</v>
      </c>
      <c r="E206" s="121">
        <f t="shared" si="503"/>
        <v>-21091.166666666668</v>
      </c>
      <c r="F206" s="48">
        <f t="shared" si="480"/>
        <v>95461.983333333337</v>
      </c>
      <c r="G206" s="48">
        <f t="shared" si="481"/>
        <v>219331.24305144319</v>
      </c>
      <c r="H206" s="121">
        <f t="shared" si="504"/>
        <v>-253094</v>
      </c>
      <c r="I206" s="121">
        <f t="shared" si="505"/>
        <v>952096</v>
      </c>
      <c r="J206" s="121">
        <f t="shared" si="506"/>
        <v>-1205190</v>
      </c>
      <c r="K206" s="121"/>
      <c r="L206" s="121">
        <f t="shared" si="507"/>
        <v>71015</v>
      </c>
      <c r="M206" s="48">
        <f t="shared" si="483"/>
        <v>223748</v>
      </c>
      <c r="N206" s="61">
        <f t="shared" si="484"/>
        <v>534124.46943621966</v>
      </c>
      <c r="O206" s="48">
        <f t="shared" si="485"/>
        <v>-343200.50276955304</v>
      </c>
      <c r="P206" s="121">
        <f t="shared" si="486"/>
        <v>492158.32341085264</v>
      </c>
      <c r="Q206" s="121">
        <f t="shared" si="486"/>
        <v>-282851.09860465111</v>
      </c>
      <c r="R206" s="626">
        <f t="shared" si="489"/>
        <v>1010365</v>
      </c>
      <c r="S206" s="121">
        <f t="shared" si="508"/>
        <v>115919</v>
      </c>
      <c r="T206" s="121">
        <f t="shared" si="500"/>
        <v>1418522.2143234741</v>
      </c>
      <c r="U206" s="121">
        <f t="shared" si="501"/>
        <v>776443.85114146117</v>
      </c>
      <c r="V206" s="52"/>
      <c r="W206" s="121">
        <f t="shared" si="509"/>
        <v>14009513</v>
      </c>
      <c r="X206" s="567">
        <f t="shared" si="510"/>
        <v>-4.5348347529812608E-2</v>
      </c>
      <c r="Y206" s="25">
        <f t="shared" si="402"/>
        <v>2427848.6029000003</v>
      </c>
      <c r="DI206" s="6"/>
      <c r="DU206" s="55"/>
      <c r="GF206" s="6"/>
      <c r="GH206" s="180"/>
      <c r="GT206" s="6"/>
      <c r="GY206" s="53"/>
      <c r="GZ206" s="182"/>
    </row>
    <row r="207" spans="1:208">
      <c r="A207" s="231">
        <v>36920</v>
      </c>
      <c r="B207" s="95">
        <f t="shared" ref="B207:B218" si="511">BZ3</f>
        <v>692392</v>
      </c>
      <c r="C207" s="48">
        <f t="shared" ref="C207:C212" si="512">AS3</f>
        <v>-290236</v>
      </c>
      <c r="D207" s="25">
        <f t="shared" si="502"/>
        <v>-656737</v>
      </c>
      <c r="E207" s="25">
        <f t="shared" si="503"/>
        <v>-40863.333333333336</v>
      </c>
      <c r="F207" s="48">
        <f t="shared" si="480"/>
        <v>89169.866666666669</v>
      </c>
      <c r="G207" s="48">
        <f t="shared" si="481"/>
        <v>224913.77564358548</v>
      </c>
      <c r="H207" s="25">
        <f t="shared" si="504"/>
        <v>-490360</v>
      </c>
      <c r="I207" s="25">
        <f t="shared" si="505"/>
        <v>1076346</v>
      </c>
      <c r="J207" s="25">
        <f t="shared" si="506"/>
        <v>-1566706</v>
      </c>
      <c r="K207" s="25"/>
      <c r="L207" s="25">
        <f t="shared" si="507"/>
        <v>71478</v>
      </c>
      <c r="M207" s="48">
        <f t="shared" si="483"/>
        <v>223313.01666666666</v>
      </c>
      <c r="N207" s="61">
        <f t="shared" si="484"/>
        <v>538997.41795383766</v>
      </c>
      <c r="O207" s="48">
        <f t="shared" si="485"/>
        <v>-360657.68462050427</v>
      </c>
      <c r="P207" s="25">
        <f t="shared" si="486"/>
        <v>492158.32341085264</v>
      </c>
      <c r="Q207" s="25">
        <f t="shared" si="486"/>
        <v>-282851.09860465111</v>
      </c>
      <c r="R207" s="95">
        <f t="shared" ref="R207:R218" si="513">BZ3</f>
        <v>692392</v>
      </c>
      <c r="S207" s="25">
        <f t="shared" si="508"/>
        <v>317973</v>
      </c>
      <c r="T207" s="25">
        <f t="shared" si="500"/>
        <v>1418522.2143234741</v>
      </c>
      <c r="U207" s="25">
        <f t="shared" si="501"/>
        <v>776443.85114146117</v>
      </c>
      <c r="W207" s="25">
        <f t="shared" si="509"/>
        <v>13664977</v>
      </c>
      <c r="X207" s="157">
        <f t="shared" si="510"/>
        <v>-8.9695913290675208E-2</v>
      </c>
      <c r="Y207" s="25">
        <f t="shared" si="402"/>
        <v>2368140.5141000003</v>
      </c>
      <c r="DI207" s="6"/>
      <c r="DU207" s="55"/>
      <c r="GF207" s="6"/>
      <c r="GH207" s="180"/>
      <c r="GT207" s="6"/>
      <c r="GY207" s="53"/>
      <c r="GZ207" s="182"/>
    </row>
    <row r="208" spans="1:208">
      <c r="A208" s="231">
        <v>36949</v>
      </c>
      <c r="B208" s="95">
        <f t="shared" si="511"/>
        <v>811487</v>
      </c>
      <c r="C208" s="48">
        <f t="shared" si="512"/>
        <v>-266960</v>
      </c>
      <c r="D208" s="25">
        <f t="shared" si="502"/>
        <v>-775954</v>
      </c>
      <c r="E208" s="25">
        <f t="shared" si="503"/>
        <v>-44752.583333333336</v>
      </c>
      <c r="F208" s="48">
        <f t="shared" si="480"/>
        <v>82873.383333333331</v>
      </c>
      <c r="G208" s="48">
        <f t="shared" si="481"/>
        <v>229537.7375167495</v>
      </c>
      <c r="H208" s="25">
        <f t="shared" si="504"/>
        <v>-537031</v>
      </c>
      <c r="I208" s="25">
        <f t="shared" si="505"/>
        <v>827575</v>
      </c>
      <c r="J208" s="25">
        <f t="shared" si="506"/>
        <v>-1364606</v>
      </c>
      <c r="K208" s="25">
        <f>AVERAGE(C206+C207+C208)</f>
        <v>-775954</v>
      </c>
      <c r="L208" s="25">
        <f t="shared" si="507"/>
        <v>23276</v>
      </c>
      <c r="M208" s="48">
        <f t="shared" si="483"/>
        <v>223308.65</v>
      </c>
      <c r="N208" s="61">
        <f t="shared" si="484"/>
        <v>541948.85836683237</v>
      </c>
      <c r="O208" s="48">
        <f t="shared" si="485"/>
        <v>-376202.09170016565</v>
      </c>
      <c r="P208" s="25">
        <f t="shared" si="486"/>
        <v>492158.32341085264</v>
      </c>
      <c r="Q208" s="25">
        <f t="shared" si="486"/>
        <v>-282851.09860465111</v>
      </c>
      <c r="R208" s="95">
        <f t="shared" si="513"/>
        <v>811487</v>
      </c>
      <c r="S208" s="25">
        <f t="shared" si="508"/>
        <v>119095</v>
      </c>
      <c r="T208" s="25">
        <f t="shared" si="500"/>
        <v>1418522.2143234741</v>
      </c>
      <c r="U208" s="25">
        <f t="shared" si="501"/>
        <v>776443.85114146117</v>
      </c>
      <c r="W208" s="25">
        <f t="shared" si="509"/>
        <v>13566604</v>
      </c>
      <c r="X208" s="157">
        <f t="shared" si="510"/>
        <v>-9.3393608903299022E-2</v>
      </c>
      <c r="Y208" s="25">
        <f t="shared" ref="Y208:Y213" si="514">W208*0.1733</f>
        <v>2351092.4732000004</v>
      </c>
      <c r="DI208" s="6"/>
      <c r="DU208" s="55"/>
      <c r="GF208" s="6"/>
      <c r="GH208" s="180"/>
      <c r="GT208" s="6"/>
      <c r="GY208" s="53"/>
      <c r="GZ208" s="182"/>
    </row>
    <row r="209" spans="1:208">
      <c r="A209" s="231">
        <v>36979</v>
      </c>
      <c r="B209" s="95">
        <f t="shared" si="511"/>
        <v>1580258</v>
      </c>
      <c r="C209" s="48">
        <f t="shared" si="512"/>
        <v>434026</v>
      </c>
      <c r="D209" s="25">
        <f t="shared" si="502"/>
        <v>-123170</v>
      </c>
      <c r="E209" s="25">
        <f t="shared" si="503"/>
        <v>-35601.333333333336</v>
      </c>
      <c r="F209" s="48">
        <f t="shared" si="480"/>
        <v>85487.45</v>
      </c>
      <c r="G209" s="48">
        <f t="shared" si="481"/>
        <v>232659.97320316138</v>
      </c>
      <c r="H209" s="25">
        <f t="shared" si="504"/>
        <v>-427216</v>
      </c>
      <c r="I209" s="25">
        <f t="shared" si="505"/>
        <v>1159847</v>
      </c>
      <c r="J209" s="25">
        <f t="shared" si="506"/>
        <v>-1587063</v>
      </c>
      <c r="K209" s="25"/>
      <c r="L209" s="25">
        <f t="shared" si="507"/>
        <v>700986</v>
      </c>
      <c r="M209" s="48">
        <f t="shared" si="483"/>
        <v>232219.2</v>
      </c>
      <c r="N209" s="61">
        <f t="shared" si="484"/>
        <v>550807.39640632272</v>
      </c>
      <c r="O209" s="48">
        <f t="shared" si="485"/>
        <v>-379832.49640632275</v>
      </c>
      <c r="P209" s="25">
        <f t="shared" si="486"/>
        <v>492158.32341085264</v>
      </c>
      <c r="Q209" s="25">
        <f t="shared" si="486"/>
        <v>-282851.09860465111</v>
      </c>
      <c r="R209" s="95">
        <f t="shared" si="513"/>
        <v>1580258</v>
      </c>
      <c r="S209" s="25">
        <f t="shared" si="508"/>
        <v>768771</v>
      </c>
      <c r="T209" s="25">
        <f t="shared" si="500"/>
        <v>1418522.2143234741</v>
      </c>
      <c r="U209" s="25">
        <f t="shared" si="501"/>
        <v>776443.85114146117</v>
      </c>
      <c r="W209" s="25">
        <f t="shared" si="509"/>
        <v>13543622</v>
      </c>
      <c r="X209" s="157">
        <f t="shared" si="510"/>
        <v>-0.12939944691152197</v>
      </c>
      <c r="Y209" s="25">
        <f t="shared" si="514"/>
        <v>2347109.6926000002</v>
      </c>
      <c r="DI209" s="6"/>
      <c r="DU209" s="55"/>
      <c r="GF209" s="6"/>
      <c r="GH209" s="180"/>
      <c r="GT209" s="6"/>
      <c r="GY209" s="53"/>
      <c r="GZ209" s="182"/>
    </row>
    <row r="210" spans="1:208">
      <c r="A210" s="231">
        <v>37010</v>
      </c>
      <c r="B210" s="95">
        <f t="shared" si="511"/>
        <v>1393723</v>
      </c>
      <c r="C210" s="48">
        <f t="shared" si="512"/>
        <v>164609</v>
      </c>
      <c r="D210" s="25">
        <f>C210+C209+C208</f>
        <v>331675</v>
      </c>
      <c r="E210" s="25">
        <f t="shared" ref="E210:E219" si="515">AVERAGE(C199:C210)</f>
        <v>-11597.75</v>
      </c>
      <c r="F210" s="48">
        <f t="shared" si="480"/>
        <v>88673.2</v>
      </c>
      <c r="G210" s="48">
        <f t="shared" si="481"/>
        <v>232408.58056388976</v>
      </c>
      <c r="H210" s="25">
        <f t="shared" ref="H210:H219" si="516">SUM(C199:C210)</f>
        <v>-139173</v>
      </c>
      <c r="I210" s="25">
        <f>H198</f>
        <v>820468</v>
      </c>
      <c r="J210" s="25">
        <f t="shared" ref="J210:J219" si="517">H210-I210</f>
        <v>-959641</v>
      </c>
      <c r="K210" s="25"/>
      <c r="L210" s="25">
        <f t="shared" ref="L210:L221" si="518">((C209-C210)^2)^0.5</f>
        <v>269417</v>
      </c>
      <c r="M210" s="48">
        <f t="shared" si="483"/>
        <v>231647.51666666666</v>
      </c>
      <c r="N210" s="61">
        <f t="shared" si="484"/>
        <v>553490.36112777947</v>
      </c>
      <c r="O210" s="48">
        <f t="shared" si="485"/>
        <v>-376143.9611277795</v>
      </c>
      <c r="P210" s="25">
        <f t="shared" si="486"/>
        <v>492158.32341085264</v>
      </c>
      <c r="Q210" s="25">
        <f t="shared" si="486"/>
        <v>-282851.09860465111</v>
      </c>
      <c r="R210" s="95">
        <f t="shared" si="513"/>
        <v>1393723</v>
      </c>
      <c r="S210" s="25">
        <f>IF(R210&gt;0,ABS(R209-R210)," ")</f>
        <v>186535</v>
      </c>
      <c r="T210" s="25">
        <f t="shared" si="500"/>
        <v>1418522.2143234741</v>
      </c>
      <c r="U210" s="25">
        <f t="shared" si="501"/>
        <v>776443.85114146117</v>
      </c>
      <c r="W210" s="25">
        <f t="shared" ref="W210:W221" si="519">SUM(R199:R210)</f>
        <v>13818481</v>
      </c>
      <c r="X210" s="157">
        <f>(W210-W198)/W198</f>
        <v>-0.10244798822323883</v>
      </c>
      <c r="Y210" s="25">
        <f t="shared" si="514"/>
        <v>2394742.7573000002</v>
      </c>
      <c r="DI210" s="6"/>
      <c r="DU210" s="55"/>
      <c r="GF210" s="6"/>
      <c r="GH210" s="180"/>
      <c r="GT210" s="6"/>
      <c r="GY210" s="53"/>
      <c r="GZ210" s="182"/>
    </row>
    <row r="211" spans="1:208">
      <c r="A211" s="231">
        <v>37040</v>
      </c>
      <c r="B211" s="95">
        <f t="shared" si="511"/>
        <v>1743022</v>
      </c>
      <c r="C211" s="48">
        <f t="shared" si="512"/>
        <v>446055</v>
      </c>
      <c r="D211" s="25">
        <f>C211+C210+C209</f>
        <v>1044690</v>
      </c>
      <c r="E211" s="25">
        <f t="shared" si="515"/>
        <v>35715.5</v>
      </c>
      <c r="F211" s="48">
        <f t="shared" si="480"/>
        <v>88479.15</v>
      </c>
      <c r="G211" s="48">
        <f t="shared" si="481"/>
        <v>232099.89592062929</v>
      </c>
      <c r="H211" s="25">
        <f t="shared" si="516"/>
        <v>428586</v>
      </c>
      <c r="I211" s="25">
        <f>H199</f>
        <v>523391</v>
      </c>
      <c r="J211" s="25">
        <f t="shared" si="517"/>
        <v>-94805</v>
      </c>
      <c r="K211" s="25"/>
      <c r="L211" s="25">
        <f t="shared" si="518"/>
        <v>281446</v>
      </c>
      <c r="M211" s="48">
        <f t="shared" si="483"/>
        <v>228267.71666666667</v>
      </c>
      <c r="N211" s="61">
        <f t="shared" si="484"/>
        <v>552678.94184125855</v>
      </c>
      <c r="O211" s="48">
        <f t="shared" si="485"/>
        <v>-375720.64184125862</v>
      </c>
      <c r="P211" s="25">
        <f t="shared" si="486"/>
        <v>492158.32341085264</v>
      </c>
      <c r="Q211" s="25">
        <f t="shared" si="486"/>
        <v>-282851.09860465111</v>
      </c>
      <c r="R211" s="95">
        <f t="shared" si="513"/>
        <v>1743022</v>
      </c>
      <c r="S211" s="25">
        <f>IF(R211&gt;0,ABS(R210-R211)," ")</f>
        <v>349299</v>
      </c>
      <c r="T211" s="25">
        <f t="shared" si="500"/>
        <v>1418522.2143234741</v>
      </c>
      <c r="U211" s="25">
        <f t="shared" si="501"/>
        <v>776443.85114146117</v>
      </c>
      <c r="W211" s="25">
        <f t="shared" si="519"/>
        <v>14454192</v>
      </c>
      <c r="X211" s="157">
        <f>(W211-W199)/W199</f>
        <v>-4.6278688788519498E-2</v>
      </c>
      <c r="Y211" s="25">
        <f t="shared" si="514"/>
        <v>2504911.4736000001</v>
      </c>
      <c r="DI211" s="6"/>
      <c r="DU211" s="55"/>
      <c r="GF211" s="6"/>
      <c r="GH211" s="180"/>
      <c r="GT211" s="6"/>
      <c r="GY211" s="53"/>
      <c r="GZ211" s="182"/>
    </row>
    <row r="212" spans="1:208">
      <c r="A212" s="231">
        <v>37071</v>
      </c>
      <c r="B212" s="95">
        <f t="shared" si="511"/>
        <v>1602908</v>
      </c>
      <c r="C212" s="48">
        <f t="shared" si="512"/>
        <v>194403</v>
      </c>
      <c r="D212" s="25">
        <f>C212+C211+C210</f>
        <v>805067</v>
      </c>
      <c r="E212" s="25">
        <f t="shared" si="515"/>
        <v>20121.583333333332</v>
      </c>
      <c r="F212" s="48">
        <f t="shared" si="480"/>
        <v>87556.366666666669</v>
      </c>
      <c r="G212" s="48">
        <f t="shared" si="481"/>
        <v>231557.19619442322</v>
      </c>
      <c r="H212" s="25">
        <f t="shared" si="516"/>
        <v>241459</v>
      </c>
      <c r="I212" s="25">
        <f>H200</f>
        <v>449949</v>
      </c>
      <c r="J212" s="25">
        <f t="shared" si="517"/>
        <v>-208490</v>
      </c>
      <c r="K212" s="25"/>
      <c r="L212" s="25">
        <f t="shared" si="518"/>
        <v>251652</v>
      </c>
      <c r="M212" s="48">
        <f t="shared" si="483"/>
        <v>228996.45</v>
      </c>
      <c r="N212" s="61">
        <f t="shared" si="484"/>
        <v>550670.75905551307</v>
      </c>
      <c r="O212" s="48">
        <f t="shared" si="485"/>
        <v>-375558.02572217979</v>
      </c>
      <c r="P212" s="25">
        <f t="shared" ref="P212:Q231" si="520">P406</f>
        <v>492158.32341085264</v>
      </c>
      <c r="Q212" s="25">
        <f t="shared" si="520"/>
        <v>-282851.09860465111</v>
      </c>
      <c r="R212" s="95">
        <f t="shared" si="513"/>
        <v>1602908</v>
      </c>
      <c r="S212" s="25">
        <f>IF(R212&gt;0,ABS(R211-R212)," ")</f>
        <v>140114</v>
      </c>
      <c r="T212" s="25">
        <f t="shared" si="500"/>
        <v>1418522.2143234741</v>
      </c>
      <c r="U212" s="25">
        <f t="shared" si="501"/>
        <v>776443.85114146117</v>
      </c>
      <c r="W212" s="25">
        <f t="shared" si="519"/>
        <v>14431609</v>
      </c>
      <c r="X212" s="157">
        <f>(W212-W200)/W200</f>
        <v>-4.391397192096945E-2</v>
      </c>
      <c r="Y212" s="25">
        <f t="shared" si="514"/>
        <v>2500997.8397000004</v>
      </c>
      <c r="DI212" s="6"/>
      <c r="DU212" s="55"/>
      <c r="GF212" s="6"/>
      <c r="GH212" s="180"/>
      <c r="GT212" s="6"/>
      <c r="GY212" s="53"/>
      <c r="GZ212" s="182"/>
    </row>
    <row r="213" spans="1:208">
      <c r="A213" s="231">
        <v>37101</v>
      </c>
      <c r="B213" s="95">
        <f t="shared" si="511"/>
        <v>1018459</v>
      </c>
      <c r="C213" s="48">
        <f t="shared" ref="C213:C218" si="521">AS9</f>
        <v>-349032</v>
      </c>
      <c r="D213" s="25">
        <f>C213+C212+C211</f>
        <v>291426</v>
      </c>
      <c r="E213" s="25">
        <f t="shared" si="515"/>
        <v>22094.75</v>
      </c>
      <c r="F213" s="48">
        <f t="shared" si="480"/>
        <v>79365.633333333331</v>
      </c>
      <c r="G213" s="48">
        <f t="shared" si="481"/>
        <v>238180.97186319018</v>
      </c>
      <c r="H213" s="25">
        <f t="shared" si="516"/>
        <v>265137</v>
      </c>
      <c r="I213" s="25">
        <f>H201</f>
        <v>76765</v>
      </c>
      <c r="J213" s="25">
        <f t="shared" si="517"/>
        <v>188372</v>
      </c>
      <c r="K213" s="25"/>
      <c r="L213" s="25">
        <f t="shared" si="518"/>
        <v>543435</v>
      </c>
      <c r="M213" s="48">
        <f t="shared" si="483"/>
        <v>236264.4</v>
      </c>
      <c r="N213" s="61">
        <f t="shared" si="484"/>
        <v>555727.57705971366</v>
      </c>
      <c r="O213" s="48">
        <f t="shared" si="485"/>
        <v>-396996.31039304705</v>
      </c>
      <c r="P213" s="25">
        <f t="shared" si="520"/>
        <v>492158.32341085264</v>
      </c>
      <c r="Q213" s="25">
        <f t="shared" si="520"/>
        <v>-282851.09860465111</v>
      </c>
      <c r="R213" s="95">
        <f t="shared" si="513"/>
        <v>1018459</v>
      </c>
      <c r="S213" s="25">
        <f>IF(R213&gt;0,ABS(R212-R213)," ")</f>
        <v>584449</v>
      </c>
      <c r="T213" s="25">
        <f t="shared" si="500"/>
        <v>1418522.2143234741</v>
      </c>
      <c r="U213" s="25">
        <f t="shared" si="501"/>
        <v>776443.85114146117</v>
      </c>
      <c r="W213" s="25">
        <f t="shared" si="519"/>
        <v>14436874</v>
      </c>
      <c r="X213" s="157">
        <f>(W213-W201)/W201</f>
        <v>-1.783551972343226E-2</v>
      </c>
      <c r="Y213" s="25">
        <f t="shared" si="514"/>
        <v>2501910.2642000001</v>
      </c>
      <c r="DI213" s="6"/>
      <c r="DU213" s="55"/>
      <c r="GF213" s="6"/>
      <c r="GH213" s="180"/>
      <c r="GT213" s="6"/>
      <c r="GY213" s="53"/>
      <c r="GZ213" s="182"/>
    </row>
    <row r="214" spans="1:208">
      <c r="A214" s="231">
        <v>37132</v>
      </c>
      <c r="B214" s="95">
        <f t="shared" si="511"/>
        <v>1238279</v>
      </c>
      <c r="C214" s="48">
        <f t="shared" si="521"/>
        <v>44364</v>
      </c>
      <c r="D214" s="25">
        <f t="shared" ref="D214:D219" si="522">C214+C213+C212</f>
        <v>-110265</v>
      </c>
      <c r="E214" s="25">
        <f t="shared" si="515"/>
        <v>36316.916666666664</v>
      </c>
      <c r="F214" s="48">
        <f t="shared" si="480"/>
        <v>77483.633333333331</v>
      </c>
      <c r="G214" s="48">
        <f t="shared" si="481"/>
        <v>238000.91415349056</v>
      </c>
      <c r="H214" s="25">
        <f t="shared" si="516"/>
        <v>435803</v>
      </c>
      <c r="I214" s="25">
        <f t="shared" ref="I214:I219" si="523">H202</f>
        <v>-281516</v>
      </c>
      <c r="J214" s="25">
        <f t="shared" si="517"/>
        <v>717319</v>
      </c>
      <c r="K214" s="25"/>
      <c r="L214" s="25">
        <f t="shared" si="518"/>
        <v>393396</v>
      </c>
      <c r="M214" s="48">
        <f t="shared" si="483"/>
        <v>242573.13333333333</v>
      </c>
      <c r="N214" s="61">
        <f t="shared" si="484"/>
        <v>553485.46164031443</v>
      </c>
      <c r="O214" s="48">
        <f t="shared" si="485"/>
        <v>-398518.19497364783</v>
      </c>
      <c r="P214" s="25">
        <f t="shared" si="520"/>
        <v>492158.32341085264</v>
      </c>
      <c r="Q214" s="25">
        <f t="shared" si="520"/>
        <v>-282851.09860465111</v>
      </c>
      <c r="R214" s="95">
        <f t="shared" si="513"/>
        <v>1238279</v>
      </c>
      <c r="S214" s="25">
        <f t="shared" ref="S214:S221" si="524">IF(R214&gt;0,ABS(R213-R214)," ")</f>
        <v>219820</v>
      </c>
      <c r="T214" s="25">
        <f t="shared" si="500"/>
        <v>1418522.2143234741</v>
      </c>
      <c r="U214" s="25">
        <f t="shared" si="501"/>
        <v>776443.85114146117</v>
      </c>
      <c r="W214" s="25">
        <f t="shared" si="519"/>
        <v>14631499</v>
      </c>
      <c r="X214" s="157">
        <f t="shared" ref="X214:X221" si="525">(W214-W202)/W202</f>
        <v>1.9053654538454295E-2</v>
      </c>
      <c r="Y214" s="25">
        <f t="shared" ref="Y214:Y225" si="526">W214*0.1733</f>
        <v>2535638.7767000003</v>
      </c>
      <c r="DI214" s="6"/>
      <c r="DU214" s="55"/>
      <c r="GF214" s="6"/>
      <c r="GH214" s="180"/>
      <c r="GT214" s="6"/>
      <c r="GY214" s="53"/>
      <c r="GZ214" s="182"/>
    </row>
    <row r="215" spans="1:208">
      <c r="A215" s="231">
        <v>37163</v>
      </c>
      <c r="B215" s="95">
        <f t="shared" si="511"/>
        <v>1253392</v>
      </c>
      <c r="C215" s="48">
        <f t="shared" si="521"/>
        <v>76214</v>
      </c>
      <c r="D215" s="25">
        <f t="shared" si="522"/>
        <v>-228454</v>
      </c>
      <c r="E215" s="25">
        <f t="shared" si="515"/>
        <v>22589.75</v>
      </c>
      <c r="F215" s="48">
        <f t="shared" si="480"/>
        <v>74574.5</v>
      </c>
      <c r="G215" s="48">
        <f t="shared" si="481"/>
        <v>236911.27243305132</v>
      </c>
      <c r="H215" s="25">
        <f t="shared" si="516"/>
        <v>271077</v>
      </c>
      <c r="I215" s="25">
        <f t="shared" si="523"/>
        <v>-270406</v>
      </c>
      <c r="J215" s="25">
        <f t="shared" si="517"/>
        <v>541483</v>
      </c>
      <c r="K215" s="25"/>
      <c r="L215" s="25">
        <f t="shared" si="518"/>
        <v>31850</v>
      </c>
      <c r="M215" s="48">
        <f t="shared" si="483"/>
        <v>241546</v>
      </c>
      <c r="N215" s="61">
        <f t="shared" si="484"/>
        <v>548397.04486610263</v>
      </c>
      <c r="O215" s="48">
        <f t="shared" si="485"/>
        <v>-399248.04486610263</v>
      </c>
      <c r="P215" s="25">
        <f t="shared" si="520"/>
        <v>492158.32341085264</v>
      </c>
      <c r="Q215" s="25">
        <f t="shared" si="520"/>
        <v>-282851.09860465111</v>
      </c>
      <c r="R215" s="95">
        <f t="shared" si="513"/>
        <v>1253392</v>
      </c>
      <c r="S215" s="25">
        <f t="shared" si="524"/>
        <v>15113</v>
      </c>
      <c r="T215" s="25">
        <f t="shared" si="500"/>
        <v>1418522.2143234741</v>
      </c>
      <c r="U215" s="25">
        <f t="shared" si="501"/>
        <v>776443.85114146117</v>
      </c>
      <c r="W215" s="25">
        <f t="shared" si="519"/>
        <v>14550453</v>
      </c>
      <c r="X215" s="157">
        <f t="shared" si="525"/>
        <v>8.1325006533603788E-3</v>
      </c>
      <c r="Y215" s="25">
        <f t="shared" si="526"/>
        <v>2521593.5049000001</v>
      </c>
      <c r="DI215" s="6"/>
      <c r="DU215" s="55"/>
      <c r="GF215" s="6"/>
      <c r="GH215" s="180"/>
      <c r="GT215" s="6"/>
      <c r="GY215" s="53"/>
      <c r="GZ215" s="182"/>
    </row>
    <row r="216" spans="1:208">
      <c r="A216" s="231">
        <v>37193</v>
      </c>
      <c r="B216" s="95">
        <f t="shared" si="511"/>
        <v>1108342</v>
      </c>
      <c r="C216" s="48">
        <f t="shared" si="521"/>
        <v>-88677</v>
      </c>
      <c r="D216" s="25">
        <f t="shared" si="522"/>
        <v>31901</v>
      </c>
      <c r="E216" s="25">
        <f t="shared" si="515"/>
        <v>-144.58333333333334</v>
      </c>
      <c r="F216" s="48">
        <f t="shared" si="480"/>
        <v>70104.866666666669</v>
      </c>
      <c r="G216" s="48">
        <f t="shared" si="481"/>
        <v>237427.34602781633</v>
      </c>
      <c r="H216" s="25">
        <f t="shared" si="516"/>
        <v>-1735</v>
      </c>
      <c r="I216" s="25">
        <f t="shared" si="523"/>
        <v>-47734</v>
      </c>
      <c r="J216" s="25">
        <f t="shared" si="517"/>
        <v>45999</v>
      </c>
      <c r="K216" s="25"/>
      <c r="L216" s="25">
        <f t="shared" si="518"/>
        <v>164891</v>
      </c>
      <c r="M216" s="48">
        <f t="shared" si="483"/>
        <v>243106.5</v>
      </c>
      <c r="N216" s="61">
        <f t="shared" si="484"/>
        <v>544959.55872229929</v>
      </c>
      <c r="O216" s="48">
        <f t="shared" si="485"/>
        <v>-404749.82538896601</v>
      </c>
      <c r="P216" s="25">
        <f t="shared" si="520"/>
        <v>492158.32341085264</v>
      </c>
      <c r="Q216" s="25">
        <f t="shared" si="520"/>
        <v>-282851.09860465111</v>
      </c>
      <c r="R216" s="95">
        <f t="shared" si="513"/>
        <v>1108342</v>
      </c>
      <c r="S216" s="25">
        <f t="shared" si="524"/>
        <v>145050</v>
      </c>
      <c r="T216" s="25">
        <f t="shared" si="500"/>
        <v>1418522.2143234741</v>
      </c>
      <c r="U216" s="25">
        <f t="shared" si="501"/>
        <v>776443.85114146117</v>
      </c>
      <c r="W216" s="25">
        <f t="shared" si="519"/>
        <v>14347073</v>
      </c>
      <c r="X216" s="157">
        <f t="shared" si="525"/>
        <v>-1.3856052722381305E-2</v>
      </c>
      <c r="Y216" s="25">
        <f t="shared" si="526"/>
        <v>2486347.7509000003</v>
      </c>
      <c r="DI216" s="6"/>
      <c r="DU216" s="55"/>
      <c r="GF216" s="6"/>
      <c r="GH216" s="180"/>
      <c r="GT216" s="6"/>
      <c r="GY216" s="53"/>
      <c r="GZ216" s="182"/>
    </row>
    <row r="217" spans="1:208">
      <c r="A217" s="231">
        <v>37224</v>
      </c>
      <c r="B217" s="95">
        <f t="shared" si="511"/>
        <v>1180779</v>
      </c>
      <c r="C217" s="48">
        <f t="shared" si="521"/>
        <v>-77594</v>
      </c>
      <c r="D217" s="25">
        <f t="shared" si="522"/>
        <v>-90057</v>
      </c>
      <c r="E217" s="25">
        <f t="shared" si="515"/>
        <v>5701.166666666667</v>
      </c>
      <c r="F217" s="48">
        <f t="shared" si="480"/>
        <v>69677.649999999994</v>
      </c>
      <c r="G217" s="48">
        <f t="shared" si="481"/>
        <v>237673.64258620993</v>
      </c>
      <c r="H217" s="25">
        <f t="shared" si="516"/>
        <v>68414</v>
      </c>
      <c r="I217" s="25">
        <f t="shared" si="523"/>
        <v>-314336</v>
      </c>
      <c r="J217" s="25">
        <f t="shared" si="517"/>
        <v>382750</v>
      </c>
      <c r="K217" s="25"/>
      <c r="L217" s="25">
        <f t="shared" si="518"/>
        <v>11083</v>
      </c>
      <c r="M217" s="48">
        <f t="shared" si="483"/>
        <v>239433.51666666666</v>
      </c>
      <c r="N217" s="61">
        <f t="shared" si="484"/>
        <v>545024.93517241988</v>
      </c>
      <c r="O217" s="48">
        <f t="shared" si="485"/>
        <v>-405669.63517241983</v>
      </c>
      <c r="P217" s="25">
        <f t="shared" si="520"/>
        <v>492158.32341085264</v>
      </c>
      <c r="Q217" s="25">
        <f t="shared" si="520"/>
        <v>-282851.09860465111</v>
      </c>
      <c r="R217" s="95">
        <f t="shared" si="513"/>
        <v>1180779</v>
      </c>
      <c r="S217" s="25">
        <f t="shared" si="524"/>
        <v>72437</v>
      </c>
      <c r="T217" s="25">
        <f t="shared" si="500"/>
        <v>1418522.2143234741</v>
      </c>
      <c r="U217" s="25">
        <f t="shared" si="501"/>
        <v>776443.85114146117</v>
      </c>
      <c r="W217" s="25">
        <f t="shared" si="519"/>
        <v>14633406</v>
      </c>
      <c r="X217" s="157">
        <f t="shared" si="525"/>
        <v>3.1554556746262806E-2</v>
      </c>
      <c r="Y217" s="25">
        <f t="shared" si="526"/>
        <v>2535969.2598000001</v>
      </c>
      <c r="DI217" s="6"/>
      <c r="DU217" s="55"/>
      <c r="GF217" s="6"/>
      <c r="GH217" s="180"/>
      <c r="GT217" s="6"/>
      <c r="GY217" s="53"/>
      <c r="GZ217" s="182"/>
    </row>
    <row r="218" spans="1:208">
      <c r="A218" s="668">
        <v>37254</v>
      </c>
      <c r="B218" s="626">
        <f t="shared" si="511"/>
        <v>1292775</v>
      </c>
      <c r="C218" s="565">
        <f t="shared" si="521"/>
        <v>-121470</v>
      </c>
      <c r="D218" s="121">
        <f t="shared" si="522"/>
        <v>-287741</v>
      </c>
      <c r="E218" s="121">
        <f t="shared" si="515"/>
        <v>13808.5</v>
      </c>
      <c r="F218" s="48">
        <f t="shared" si="480"/>
        <v>67212.05</v>
      </c>
      <c r="G218" s="48">
        <f t="shared" si="481"/>
        <v>238893.7175509989</v>
      </c>
      <c r="H218" s="121">
        <f t="shared" si="516"/>
        <v>165702</v>
      </c>
      <c r="I218" s="121">
        <f t="shared" si="523"/>
        <v>-253094</v>
      </c>
      <c r="J218" s="121">
        <f t="shared" si="517"/>
        <v>418796</v>
      </c>
      <c r="K218" s="121"/>
      <c r="L218" s="121">
        <f t="shared" si="518"/>
        <v>43876</v>
      </c>
      <c r="M218" s="48">
        <f t="shared" si="483"/>
        <v>238857.66666666666</v>
      </c>
      <c r="N218" s="61">
        <f t="shared" si="484"/>
        <v>544999.48510199785</v>
      </c>
      <c r="O218" s="48">
        <f t="shared" si="485"/>
        <v>-410575.38510199782</v>
      </c>
      <c r="P218" s="121">
        <f t="shared" si="520"/>
        <v>492158.32341085264</v>
      </c>
      <c r="Q218" s="121">
        <f t="shared" si="520"/>
        <v>-282851.09860465111</v>
      </c>
      <c r="R218" s="626">
        <f t="shared" si="513"/>
        <v>1292775</v>
      </c>
      <c r="S218" s="121">
        <f t="shared" si="524"/>
        <v>111996</v>
      </c>
      <c r="T218" s="121">
        <f t="shared" si="500"/>
        <v>1418522.2143234741</v>
      </c>
      <c r="U218" s="121">
        <f t="shared" si="501"/>
        <v>776443.85114146117</v>
      </c>
      <c r="V218" s="52"/>
      <c r="W218" s="121">
        <f t="shared" si="519"/>
        <v>14915816</v>
      </c>
      <c r="X218" s="567">
        <f t="shared" si="525"/>
        <v>6.4691970377557015E-2</v>
      </c>
      <c r="Y218" s="121">
        <f t="shared" si="526"/>
        <v>2584910.9128</v>
      </c>
      <c r="DI218" s="6"/>
      <c r="DU218" s="55"/>
      <c r="GF218" s="6"/>
      <c r="GH218" s="180"/>
      <c r="GT218" s="6"/>
      <c r="GY218" s="53"/>
      <c r="GZ218" s="182"/>
    </row>
    <row r="219" spans="1:208">
      <c r="A219" s="676">
        <v>37285</v>
      </c>
      <c r="B219" s="677">
        <f t="shared" ref="B219:B230" si="527">CA3</f>
        <v>991617</v>
      </c>
      <c r="C219" s="289">
        <f>AT3</f>
        <v>-69772</v>
      </c>
      <c r="D219" s="127">
        <f t="shared" si="522"/>
        <v>-268836</v>
      </c>
      <c r="E219" s="127">
        <f t="shared" si="515"/>
        <v>32180.5</v>
      </c>
      <c r="F219" s="48">
        <f t="shared" si="480"/>
        <v>64981.23333333333</v>
      </c>
      <c r="G219" s="48">
        <f t="shared" si="481"/>
        <v>239547.54305617439</v>
      </c>
      <c r="H219" s="127">
        <f t="shared" si="516"/>
        <v>386166</v>
      </c>
      <c r="I219" s="127">
        <f t="shared" si="523"/>
        <v>-490360</v>
      </c>
      <c r="J219" s="127">
        <f t="shared" si="517"/>
        <v>876526</v>
      </c>
      <c r="K219" s="127"/>
      <c r="L219" s="25">
        <f t="shared" si="518"/>
        <v>51698</v>
      </c>
      <c r="M219" s="48">
        <f t="shared" si="483"/>
        <v>239092.45</v>
      </c>
      <c r="N219" s="61">
        <f t="shared" si="484"/>
        <v>544076.31944568211</v>
      </c>
      <c r="O219" s="48">
        <f t="shared" si="485"/>
        <v>-414113.85277901543</v>
      </c>
      <c r="P219" s="25">
        <f t="shared" si="520"/>
        <v>492158.32341085264</v>
      </c>
      <c r="Q219" s="25">
        <f t="shared" si="520"/>
        <v>-282851.09860465111</v>
      </c>
      <c r="R219" s="95">
        <f t="shared" ref="R219:R230" si="528">CA3</f>
        <v>991617</v>
      </c>
      <c r="S219" s="25">
        <f t="shared" si="524"/>
        <v>301158</v>
      </c>
      <c r="T219" s="25">
        <f t="shared" si="500"/>
        <v>1418522.2143234741</v>
      </c>
      <c r="U219" s="25">
        <f t="shared" si="501"/>
        <v>776443.85114146117</v>
      </c>
      <c r="W219" s="25">
        <f t="shared" si="519"/>
        <v>15215041</v>
      </c>
      <c r="X219" s="157">
        <f t="shared" si="525"/>
        <v>0.11343334130748994</v>
      </c>
      <c r="Y219" s="25">
        <f t="shared" si="526"/>
        <v>2636766.6052999999</v>
      </c>
      <c r="DI219" s="6"/>
      <c r="DU219" s="55"/>
      <c r="GF219" s="6"/>
      <c r="GH219" s="180"/>
      <c r="GT219" s="6"/>
      <c r="GY219" s="53"/>
      <c r="GZ219" s="182"/>
    </row>
    <row r="220" spans="1:208">
      <c r="A220" s="231">
        <v>37314</v>
      </c>
      <c r="B220" s="677">
        <f t="shared" si="527"/>
        <v>1357067</v>
      </c>
      <c r="C220" s="289">
        <f t="shared" ref="C220:C230" si="529">AT4</f>
        <v>79586</v>
      </c>
      <c r="D220" s="127">
        <f t="shared" ref="D220:D240" si="530">C220+C219+C218</f>
        <v>-111656</v>
      </c>
      <c r="E220" s="127">
        <f t="shared" ref="E220:E240" si="531">AVERAGE(C209:C220)</f>
        <v>61059.333333333336</v>
      </c>
      <c r="F220" s="48">
        <f t="shared" si="480"/>
        <v>61700.566666666666</v>
      </c>
      <c r="G220" s="48">
        <f t="shared" si="481"/>
        <v>237945.19882907713</v>
      </c>
      <c r="H220" s="127">
        <f t="shared" ref="H220:H240" si="532">SUM(C209:C220)</f>
        <v>732712</v>
      </c>
      <c r="I220" s="127">
        <f t="shared" ref="I220:I240" si="533">H208</f>
        <v>-537031</v>
      </c>
      <c r="J220" s="127">
        <f t="shared" ref="J220:J240" si="534">H220-I220</f>
        <v>1269743</v>
      </c>
      <c r="K220" s="25">
        <f>AVERAGE(C218+C219+C220)</f>
        <v>-111656</v>
      </c>
      <c r="L220" s="25">
        <f t="shared" si="518"/>
        <v>149358</v>
      </c>
      <c r="M220" s="48">
        <f t="shared" si="483"/>
        <v>238042.6</v>
      </c>
      <c r="N220" s="61">
        <f t="shared" si="484"/>
        <v>537590.9643248209</v>
      </c>
      <c r="O220" s="48">
        <f t="shared" si="485"/>
        <v>-414189.8309914876</v>
      </c>
      <c r="P220" s="25">
        <f t="shared" si="520"/>
        <v>492158.32341085264</v>
      </c>
      <c r="Q220" s="25">
        <f t="shared" si="520"/>
        <v>-282851.09860465111</v>
      </c>
      <c r="R220" s="95">
        <f t="shared" si="528"/>
        <v>1357067</v>
      </c>
      <c r="S220" s="25">
        <f t="shared" si="524"/>
        <v>365450</v>
      </c>
      <c r="T220" s="25">
        <f t="shared" si="500"/>
        <v>1418522.2143234741</v>
      </c>
      <c r="U220" s="25">
        <f t="shared" si="501"/>
        <v>776443.85114146117</v>
      </c>
      <c r="W220" s="25">
        <f t="shared" si="519"/>
        <v>15760621</v>
      </c>
      <c r="X220" s="157">
        <f t="shared" si="525"/>
        <v>0.16172190181124177</v>
      </c>
      <c r="Y220" s="25">
        <f t="shared" si="526"/>
        <v>2731315.6193000004</v>
      </c>
      <c r="DI220" s="6"/>
      <c r="DU220" s="55"/>
      <c r="GF220" s="6"/>
      <c r="GH220" s="180"/>
      <c r="GT220" s="6"/>
      <c r="GY220" s="53"/>
      <c r="GZ220" s="182"/>
    </row>
    <row r="221" spans="1:208">
      <c r="A221" s="231">
        <v>37342</v>
      </c>
      <c r="B221" s="677">
        <f t="shared" si="527"/>
        <v>1491226</v>
      </c>
      <c r="C221" s="289">
        <f t="shared" si="529"/>
        <v>-1121</v>
      </c>
      <c r="D221" s="127">
        <f t="shared" si="530"/>
        <v>8693</v>
      </c>
      <c r="E221" s="127">
        <f t="shared" si="531"/>
        <v>24797.083333333332</v>
      </c>
      <c r="F221" s="48">
        <f t="shared" si="480"/>
        <v>57445.116666666669</v>
      </c>
      <c r="G221" s="48">
        <f t="shared" si="481"/>
        <v>236724.06940829536</v>
      </c>
      <c r="H221" s="127">
        <f t="shared" si="532"/>
        <v>297565</v>
      </c>
      <c r="I221" s="127">
        <f t="shared" si="533"/>
        <v>-427216</v>
      </c>
      <c r="J221" s="127">
        <f t="shared" si="534"/>
        <v>724781</v>
      </c>
      <c r="K221" s="127"/>
      <c r="L221" s="25">
        <f t="shared" si="518"/>
        <v>80707</v>
      </c>
      <c r="M221" s="48">
        <f t="shared" si="483"/>
        <v>239017.38333333333</v>
      </c>
      <c r="N221" s="61">
        <f t="shared" si="484"/>
        <v>530893.25548325735</v>
      </c>
      <c r="O221" s="48">
        <f t="shared" si="485"/>
        <v>-416003.02214992407</v>
      </c>
      <c r="P221" s="25">
        <f t="shared" si="520"/>
        <v>492158.32341085264</v>
      </c>
      <c r="Q221" s="25">
        <f t="shared" si="520"/>
        <v>-282851.09860465111</v>
      </c>
      <c r="R221" s="95">
        <f t="shared" si="528"/>
        <v>1491226</v>
      </c>
      <c r="S221" s="25">
        <f t="shared" si="524"/>
        <v>134159</v>
      </c>
      <c r="T221" s="25">
        <f t="shared" si="500"/>
        <v>1418522.2143234741</v>
      </c>
      <c r="U221" s="25">
        <f t="shared" si="501"/>
        <v>776443.85114146117</v>
      </c>
      <c r="W221" s="25">
        <f t="shared" si="519"/>
        <v>15671589</v>
      </c>
      <c r="X221" s="157">
        <f t="shared" si="525"/>
        <v>0.15711949137387327</v>
      </c>
      <c r="Y221" s="25">
        <f t="shared" si="526"/>
        <v>2715886.3737000003</v>
      </c>
      <c r="DI221" s="6"/>
      <c r="DU221" s="55"/>
      <c r="GF221" s="6"/>
      <c r="GH221" s="180"/>
      <c r="GT221" s="6"/>
      <c r="GY221" s="53"/>
      <c r="GZ221" s="182"/>
    </row>
    <row r="222" spans="1:208">
      <c r="A222" s="231">
        <v>37373</v>
      </c>
      <c r="B222" s="677">
        <f t="shared" si="527"/>
        <v>1312977</v>
      </c>
      <c r="C222" s="289">
        <f t="shared" si="529"/>
        <v>9885</v>
      </c>
      <c r="D222" s="127">
        <f t="shared" si="530"/>
        <v>88350</v>
      </c>
      <c r="E222" s="127">
        <f t="shared" si="531"/>
        <v>11903.416666666666</v>
      </c>
      <c r="F222" s="48">
        <f t="shared" si="480"/>
        <v>50604.283333333333</v>
      </c>
      <c r="G222" s="48">
        <f t="shared" si="481"/>
        <v>231941.83572560991</v>
      </c>
      <c r="H222" s="127">
        <f t="shared" si="532"/>
        <v>142841</v>
      </c>
      <c r="I222" s="127">
        <f t="shared" si="533"/>
        <v>-139173</v>
      </c>
      <c r="J222" s="127">
        <f t="shared" si="534"/>
        <v>282014</v>
      </c>
      <c r="K222" s="127"/>
      <c r="L222" s="25">
        <f t="shared" ref="L222:L230" si="535">((C221-C222)^2)^0.5</f>
        <v>11006</v>
      </c>
      <c r="M222" s="48">
        <f t="shared" si="483"/>
        <v>236432</v>
      </c>
      <c r="N222" s="61">
        <f t="shared" si="484"/>
        <v>514487.95478455315</v>
      </c>
      <c r="O222" s="48">
        <f t="shared" si="485"/>
        <v>-413279.3881178865</v>
      </c>
      <c r="P222" s="25">
        <f t="shared" si="520"/>
        <v>492158.32341085264</v>
      </c>
      <c r="Q222" s="25">
        <f t="shared" si="520"/>
        <v>-282851.09860465111</v>
      </c>
      <c r="R222" s="95">
        <f t="shared" si="528"/>
        <v>1312977</v>
      </c>
      <c r="S222" s="25">
        <f t="shared" ref="S222:S230" si="536">IF(R222&gt;0,ABS(R221-R222)," ")</f>
        <v>178249</v>
      </c>
      <c r="T222" s="25">
        <f t="shared" si="500"/>
        <v>1418522.2143234741</v>
      </c>
      <c r="U222" s="25">
        <f t="shared" si="501"/>
        <v>776443.85114146117</v>
      </c>
      <c r="W222" s="25">
        <f t="shared" ref="W222:W230" si="537">SUM(R211:R222)</f>
        <v>15590843</v>
      </c>
      <c r="X222" s="157">
        <f t="shared" ref="X222:X230" si="538">(W222-W210)/W210</f>
        <v>0.12826026247023822</v>
      </c>
      <c r="Y222" s="25">
        <f t="shared" si="526"/>
        <v>2701893.0919000003</v>
      </c>
      <c r="DI222" s="6"/>
      <c r="DU222" s="55"/>
      <c r="GF222" s="6"/>
      <c r="GH222" s="180"/>
      <c r="GT222" s="6"/>
      <c r="GY222" s="53"/>
      <c r="GZ222" s="182"/>
    </row>
    <row r="223" spans="1:208">
      <c r="A223" s="231">
        <v>37403</v>
      </c>
      <c r="B223" s="677">
        <f t="shared" si="527"/>
        <v>1701296</v>
      </c>
      <c r="C223" s="289">
        <f t="shared" si="529"/>
        <v>217715</v>
      </c>
      <c r="D223" s="127">
        <f t="shared" si="530"/>
        <v>226479</v>
      </c>
      <c r="E223" s="127">
        <f t="shared" si="531"/>
        <v>-7124.916666666667</v>
      </c>
      <c r="F223" s="48">
        <f t="shared" si="480"/>
        <v>47501.166666666664</v>
      </c>
      <c r="G223" s="48">
        <f t="shared" si="481"/>
        <v>228352.71741382199</v>
      </c>
      <c r="H223" s="127">
        <f t="shared" si="532"/>
        <v>-85499</v>
      </c>
      <c r="I223" s="127">
        <f t="shared" si="533"/>
        <v>428586</v>
      </c>
      <c r="J223" s="127">
        <f t="shared" si="534"/>
        <v>-514085</v>
      </c>
      <c r="K223" s="127"/>
      <c r="L223" s="25">
        <f t="shared" si="535"/>
        <v>207830</v>
      </c>
      <c r="M223" s="48">
        <f t="shared" si="483"/>
        <v>239621.95</v>
      </c>
      <c r="N223" s="61">
        <f t="shared" si="484"/>
        <v>504206.60149431066</v>
      </c>
      <c r="O223" s="48">
        <f t="shared" si="485"/>
        <v>-409204.26816097728</v>
      </c>
      <c r="P223" s="25">
        <f t="shared" si="520"/>
        <v>492158.32341085264</v>
      </c>
      <c r="Q223" s="25">
        <f t="shared" si="520"/>
        <v>-282851.09860465111</v>
      </c>
      <c r="R223" s="95">
        <f t="shared" si="528"/>
        <v>1701296</v>
      </c>
      <c r="S223" s="25">
        <f t="shared" si="536"/>
        <v>388319</v>
      </c>
      <c r="T223" s="25">
        <f t="shared" si="500"/>
        <v>1418522.2143234741</v>
      </c>
      <c r="U223" s="25">
        <f t="shared" si="501"/>
        <v>776443.85114146117</v>
      </c>
      <c r="W223" s="25">
        <f t="shared" si="537"/>
        <v>15549117</v>
      </c>
      <c r="X223" s="157">
        <f t="shared" si="538"/>
        <v>7.5751380637534074E-2</v>
      </c>
      <c r="Y223" s="25">
        <f t="shared" si="526"/>
        <v>2694661.9761000001</v>
      </c>
      <c r="DI223" s="6"/>
      <c r="DU223" s="55"/>
      <c r="GF223" s="6"/>
      <c r="GH223" s="180"/>
      <c r="GT223" s="6"/>
      <c r="GY223" s="53"/>
      <c r="GZ223" s="182"/>
    </row>
    <row r="224" spans="1:208">
      <c r="A224" s="231">
        <v>37434</v>
      </c>
      <c r="B224" s="677">
        <f t="shared" si="527"/>
        <v>1569316</v>
      </c>
      <c r="C224" s="289">
        <f t="shared" si="529"/>
        <v>-26244</v>
      </c>
      <c r="D224" s="127">
        <f t="shared" si="530"/>
        <v>201356</v>
      </c>
      <c r="E224" s="127">
        <f t="shared" si="531"/>
        <v>-25512.166666666668</v>
      </c>
      <c r="F224" s="48">
        <f t="shared" si="480"/>
        <v>40122.550000000003</v>
      </c>
      <c r="G224" s="48">
        <f t="shared" si="481"/>
        <v>223325.57165112675</v>
      </c>
      <c r="H224" s="127">
        <f t="shared" si="532"/>
        <v>-306146</v>
      </c>
      <c r="I224" s="127">
        <f t="shared" si="533"/>
        <v>241459</v>
      </c>
      <c r="J224" s="127">
        <f t="shared" si="534"/>
        <v>-547605</v>
      </c>
      <c r="K224" s="127"/>
      <c r="L224" s="25">
        <f t="shared" si="535"/>
        <v>243959</v>
      </c>
      <c r="M224" s="48">
        <f t="shared" si="483"/>
        <v>243478.41666666666</v>
      </c>
      <c r="N224" s="61">
        <f t="shared" si="484"/>
        <v>486773.69330225349</v>
      </c>
      <c r="O224" s="48">
        <f t="shared" si="485"/>
        <v>-406528.59330225352</v>
      </c>
      <c r="P224" s="25">
        <f t="shared" si="520"/>
        <v>492158.32341085264</v>
      </c>
      <c r="Q224" s="25">
        <f t="shared" si="520"/>
        <v>-282851.09860465111</v>
      </c>
      <c r="R224" s="95">
        <f t="shared" si="528"/>
        <v>1569316</v>
      </c>
      <c r="S224" s="25">
        <f t="shared" si="536"/>
        <v>131980</v>
      </c>
      <c r="T224" s="25">
        <f t="shared" si="500"/>
        <v>1418522.2143234741</v>
      </c>
      <c r="U224" s="25">
        <f t="shared" si="501"/>
        <v>776443.85114146117</v>
      </c>
      <c r="W224" s="25">
        <f t="shared" si="537"/>
        <v>15515525</v>
      </c>
      <c r="X224" s="157">
        <f t="shared" si="538"/>
        <v>7.5107079189853335E-2</v>
      </c>
      <c r="Y224" s="25">
        <f t="shared" si="526"/>
        <v>2688840.4824999999</v>
      </c>
      <c r="DI224" s="6"/>
      <c r="DU224" s="55"/>
      <c r="GF224" s="6"/>
      <c r="GH224" s="180"/>
      <c r="GT224" s="6"/>
      <c r="GY224" s="53"/>
      <c r="GZ224" s="182"/>
    </row>
    <row r="225" spans="1:213">
      <c r="A225" s="231">
        <v>37464</v>
      </c>
      <c r="B225" s="677">
        <f t="shared" si="527"/>
        <v>1318819</v>
      </c>
      <c r="C225" s="289">
        <f t="shared" si="529"/>
        <v>-110288</v>
      </c>
      <c r="D225" s="127">
        <f t="shared" si="530"/>
        <v>81183</v>
      </c>
      <c r="E225" s="127">
        <f t="shared" si="531"/>
        <v>-5616.833333333333</v>
      </c>
      <c r="F225" s="48">
        <f t="shared" si="480"/>
        <v>37877.25</v>
      </c>
      <c r="G225" s="48">
        <f t="shared" si="481"/>
        <v>224161.6752100375</v>
      </c>
      <c r="H225" s="127">
        <f t="shared" si="532"/>
        <v>-67402</v>
      </c>
      <c r="I225" s="127">
        <f t="shared" si="533"/>
        <v>265137</v>
      </c>
      <c r="J225" s="127">
        <f t="shared" si="534"/>
        <v>-332539</v>
      </c>
      <c r="K225" s="127"/>
      <c r="L225" s="25">
        <f t="shared" si="535"/>
        <v>84044</v>
      </c>
      <c r="M225" s="48">
        <f t="shared" si="483"/>
        <v>238345.1</v>
      </c>
      <c r="N225" s="61">
        <f t="shared" si="484"/>
        <v>486200.600420075</v>
      </c>
      <c r="O225" s="48">
        <f t="shared" si="485"/>
        <v>-410446.100420075</v>
      </c>
      <c r="P225" s="25">
        <f t="shared" si="520"/>
        <v>492158.32341085264</v>
      </c>
      <c r="Q225" s="25">
        <f t="shared" si="520"/>
        <v>-282851.09860465111</v>
      </c>
      <c r="R225" s="95">
        <f t="shared" si="528"/>
        <v>1318819</v>
      </c>
      <c r="S225" s="25">
        <f t="shared" si="536"/>
        <v>250497</v>
      </c>
      <c r="T225" s="25">
        <f t="shared" si="500"/>
        <v>1418522.2143234741</v>
      </c>
      <c r="U225" s="25">
        <f t="shared" si="501"/>
        <v>776443.85114146117</v>
      </c>
      <c r="W225" s="25">
        <f t="shared" si="537"/>
        <v>15815885</v>
      </c>
      <c r="X225" s="157">
        <f t="shared" si="538"/>
        <v>9.552005510334162E-2</v>
      </c>
      <c r="Y225" s="25">
        <f t="shared" si="526"/>
        <v>2740892.8705000002</v>
      </c>
      <c r="DI225" s="6"/>
      <c r="DU225" s="55"/>
      <c r="GF225" s="6"/>
      <c r="GH225" s="180"/>
      <c r="GT225" s="6"/>
      <c r="GY225" s="53"/>
      <c r="GZ225" s="182"/>
    </row>
    <row r="226" spans="1:213">
      <c r="A226" s="231">
        <v>37495</v>
      </c>
      <c r="B226" s="677">
        <f t="shared" si="527"/>
        <v>1474138</v>
      </c>
      <c r="C226" s="289">
        <f t="shared" si="529"/>
        <v>-102358</v>
      </c>
      <c r="D226" s="127">
        <f t="shared" si="530"/>
        <v>-238890</v>
      </c>
      <c r="E226" s="127">
        <f t="shared" si="531"/>
        <v>-17843.666666666668</v>
      </c>
      <c r="F226" s="48">
        <f t="shared" si="480"/>
        <v>32913.25</v>
      </c>
      <c r="G226" s="48">
        <f t="shared" si="481"/>
        <v>223910.05805166313</v>
      </c>
      <c r="H226" s="127">
        <f t="shared" si="532"/>
        <v>-214124</v>
      </c>
      <c r="I226" s="127">
        <f t="shared" si="533"/>
        <v>435803</v>
      </c>
      <c r="J226" s="127">
        <f t="shared" si="534"/>
        <v>-649927</v>
      </c>
      <c r="K226" s="127"/>
      <c r="L226" s="25">
        <f t="shared" si="535"/>
        <v>7930</v>
      </c>
      <c r="M226" s="48">
        <f t="shared" si="483"/>
        <v>235626.4</v>
      </c>
      <c r="N226" s="61">
        <f t="shared" si="484"/>
        <v>480733.36610332626</v>
      </c>
      <c r="O226" s="48">
        <f t="shared" si="485"/>
        <v>-414906.86610332626</v>
      </c>
      <c r="P226" s="25">
        <f t="shared" si="520"/>
        <v>492158.32341085264</v>
      </c>
      <c r="Q226" s="25">
        <f t="shared" si="520"/>
        <v>-282851.09860465111</v>
      </c>
      <c r="R226" s="95">
        <f t="shared" si="528"/>
        <v>1474138</v>
      </c>
      <c r="S226" s="25">
        <f t="shared" si="536"/>
        <v>155319</v>
      </c>
      <c r="T226" s="25">
        <f t="shared" si="500"/>
        <v>1418522.2143234741</v>
      </c>
      <c r="U226" s="25">
        <f t="shared" si="501"/>
        <v>776443.85114146117</v>
      </c>
      <c r="W226" s="25">
        <f t="shared" si="537"/>
        <v>16051744</v>
      </c>
      <c r="X226" s="157">
        <f t="shared" si="538"/>
        <v>9.7067634696896055E-2</v>
      </c>
      <c r="Y226" s="25">
        <f>W226*0.1733</f>
        <v>2781767.2352</v>
      </c>
      <c r="DI226" s="6"/>
      <c r="DU226" s="55"/>
      <c r="GF226" s="6"/>
      <c r="GH226" s="180"/>
      <c r="GT226" s="6"/>
      <c r="GY226" s="53"/>
      <c r="GZ226" s="182"/>
    </row>
    <row r="227" spans="1:213">
      <c r="A227" s="231">
        <v>37526</v>
      </c>
      <c r="B227" s="677">
        <f t="shared" si="527"/>
        <v>1306194</v>
      </c>
      <c r="C227" s="289">
        <f t="shared" si="529"/>
        <v>-40948</v>
      </c>
      <c r="D227" s="127">
        <f t="shared" si="530"/>
        <v>-253594</v>
      </c>
      <c r="E227" s="127">
        <f t="shared" si="531"/>
        <v>-27607.166666666668</v>
      </c>
      <c r="F227" s="48">
        <f t="shared" si="480"/>
        <v>30307.1</v>
      </c>
      <c r="G227" s="48">
        <f t="shared" si="481"/>
        <v>223843.45188203387</v>
      </c>
      <c r="H227" s="127">
        <f t="shared" si="532"/>
        <v>-331286</v>
      </c>
      <c r="I227" s="127">
        <f t="shared" si="533"/>
        <v>271077</v>
      </c>
      <c r="J227" s="127">
        <f t="shared" si="534"/>
        <v>-602363</v>
      </c>
      <c r="K227" s="127"/>
      <c r="L227" s="25">
        <f t="shared" si="535"/>
        <v>61410</v>
      </c>
      <c r="M227" s="48">
        <f t="shared" si="483"/>
        <v>235315.55</v>
      </c>
      <c r="N227" s="61">
        <f t="shared" si="484"/>
        <v>477994.00376406772</v>
      </c>
      <c r="O227" s="48">
        <f t="shared" si="485"/>
        <v>-417379.80376406776</v>
      </c>
      <c r="P227" s="25">
        <f t="shared" si="520"/>
        <v>492158.32341085264</v>
      </c>
      <c r="Q227" s="25">
        <f t="shared" si="520"/>
        <v>-282851.09860465111</v>
      </c>
      <c r="R227" s="95">
        <f t="shared" si="528"/>
        <v>1306194</v>
      </c>
      <c r="S227" s="25">
        <f t="shared" si="536"/>
        <v>167944</v>
      </c>
      <c r="T227" s="25">
        <f t="shared" si="500"/>
        <v>1418522.2143234741</v>
      </c>
      <c r="U227" s="25">
        <f t="shared" si="501"/>
        <v>776443.85114146117</v>
      </c>
      <c r="W227" s="25">
        <f t="shared" si="537"/>
        <v>16104546</v>
      </c>
      <c r="X227" s="157">
        <f t="shared" si="538"/>
        <v>0.10680719012665792</v>
      </c>
      <c r="Y227" s="25">
        <f>W227*0.1733</f>
        <v>2790917.8218</v>
      </c>
      <c r="DI227" s="6"/>
      <c r="DU227" s="55"/>
      <c r="GF227" s="6"/>
      <c r="GH227" s="180"/>
      <c r="GT227" s="6"/>
      <c r="GY227" s="53"/>
      <c r="GZ227" s="182"/>
    </row>
    <row r="228" spans="1:213">
      <c r="A228" s="231">
        <v>37556</v>
      </c>
      <c r="B228" s="677">
        <f t="shared" si="527"/>
        <v>1514810</v>
      </c>
      <c r="C228" s="289">
        <f t="shared" si="529"/>
        <v>102350</v>
      </c>
      <c r="D228" s="127">
        <f t="shared" si="530"/>
        <v>-40956</v>
      </c>
      <c r="E228" s="127">
        <f t="shared" si="531"/>
        <v>-11688.25</v>
      </c>
      <c r="F228" s="48">
        <f t="shared" si="480"/>
        <v>22083.833333333332</v>
      </c>
      <c r="G228" s="48">
        <f t="shared" si="481"/>
        <v>211438.14534080221</v>
      </c>
      <c r="H228" s="127">
        <f t="shared" si="532"/>
        <v>-140259</v>
      </c>
      <c r="I228" s="127">
        <f t="shared" si="533"/>
        <v>-1735</v>
      </c>
      <c r="J228" s="127">
        <f t="shared" si="534"/>
        <v>-138524</v>
      </c>
      <c r="K228" s="127"/>
      <c r="L228" s="25">
        <f t="shared" si="535"/>
        <v>143298</v>
      </c>
      <c r="M228" s="48">
        <f t="shared" si="483"/>
        <v>229698.43333333332</v>
      </c>
      <c r="N228" s="61">
        <f t="shared" si="484"/>
        <v>444960.12401493773</v>
      </c>
      <c r="O228" s="48">
        <f t="shared" si="485"/>
        <v>-400792.4573482711</v>
      </c>
      <c r="P228" s="25">
        <f t="shared" si="520"/>
        <v>492158.32341085264</v>
      </c>
      <c r="Q228" s="25">
        <f t="shared" si="520"/>
        <v>-282851.09860465111</v>
      </c>
      <c r="R228" s="95">
        <f t="shared" si="528"/>
        <v>1514810</v>
      </c>
      <c r="S228" s="25">
        <f t="shared" si="536"/>
        <v>208616</v>
      </c>
      <c r="T228" s="25">
        <f t="shared" si="500"/>
        <v>1418522.2143234741</v>
      </c>
      <c r="U228" s="25">
        <f t="shared" si="501"/>
        <v>776443.85114146117</v>
      </c>
      <c r="W228" s="25">
        <f t="shared" si="537"/>
        <v>16511014</v>
      </c>
      <c r="X228" s="157">
        <f t="shared" si="538"/>
        <v>0.15082804694727628</v>
      </c>
      <c r="Y228" s="25">
        <f>W228*0.1733</f>
        <v>2861358.7262000004</v>
      </c>
      <c r="DI228" s="6"/>
      <c r="DU228" s="55"/>
      <c r="GF228" s="6"/>
      <c r="GH228" s="180"/>
      <c r="GT228" s="6"/>
      <c r="GY228" s="53"/>
      <c r="GZ228" s="182"/>
    </row>
    <row r="229" spans="1:213">
      <c r="A229" s="231">
        <v>37587</v>
      </c>
      <c r="B229" s="677">
        <f t="shared" si="527"/>
        <v>1622940</v>
      </c>
      <c r="C229" s="289">
        <f t="shared" si="529"/>
        <v>228778</v>
      </c>
      <c r="D229" s="127">
        <f t="shared" si="530"/>
        <v>290180</v>
      </c>
      <c r="E229" s="127">
        <f t="shared" si="531"/>
        <v>13842.75</v>
      </c>
      <c r="F229" s="48">
        <f t="shared" si="480"/>
        <v>25014.95</v>
      </c>
      <c r="G229" s="48">
        <f t="shared" si="481"/>
        <v>213085.32335141508</v>
      </c>
      <c r="H229" s="127">
        <f t="shared" si="532"/>
        <v>166113</v>
      </c>
      <c r="I229" s="127">
        <f t="shared" si="533"/>
        <v>68414</v>
      </c>
      <c r="J229" s="127">
        <f t="shared" si="534"/>
        <v>97699</v>
      </c>
      <c r="K229" s="127"/>
      <c r="L229" s="25">
        <f t="shared" si="535"/>
        <v>126428</v>
      </c>
      <c r="M229" s="48">
        <f t="shared" si="483"/>
        <v>222758.31666666668</v>
      </c>
      <c r="N229" s="61">
        <f t="shared" si="484"/>
        <v>451185.59670283017</v>
      </c>
      <c r="O229" s="48">
        <f t="shared" si="485"/>
        <v>-401155.69670283014</v>
      </c>
      <c r="P229" s="25">
        <f t="shared" si="520"/>
        <v>492158.32341085264</v>
      </c>
      <c r="Q229" s="25">
        <f t="shared" si="520"/>
        <v>-282851.09860465111</v>
      </c>
      <c r="R229" s="95">
        <f t="shared" si="528"/>
        <v>1622940</v>
      </c>
      <c r="S229" s="25">
        <f t="shared" si="536"/>
        <v>108130</v>
      </c>
      <c r="T229" s="25">
        <f t="shared" si="500"/>
        <v>1418522.2143234741</v>
      </c>
      <c r="U229" s="25">
        <f t="shared" si="501"/>
        <v>776443.85114146117</v>
      </c>
      <c r="W229" s="25">
        <f t="shared" si="537"/>
        <v>16953175</v>
      </c>
      <c r="X229" s="157">
        <f t="shared" si="538"/>
        <v>0.15852556814182564</v>
      </c>
      <c r="Y229" s="25">
        <f>W229*0.1733</f>
        <v>2937985.2275</v>
      </c>
      <c r="BT229" s="668"/>
      <c r="BU229" s="626"/>
      <c r="BV229" s="565"/>
      <c r="BW229" s="121"/>
      <c r="BX229" s="121"/>
      <c r="BY229" s="121"/>
      <c r="BZ229" s="121"/>
      <c r="CA229" s="121"/>
      <c r="CB229" s="121"/>
      <c r="CC229" s="127"/>
      <c r="DI229" s="6"/>
      <c r="DU229" s="55"/>
      <c r="DY229" s="25"/>
      <c r="DZ229" s="25"/>
      <c r="EA229" s="626"/>
      <c r="EB229" s="121"/>
      <c r="EC229" s="121"/>
      <c r="ED229" s="121"/>
      <c r="EE229" s="121"/>
      <c r="GF229" s="6"/>
      <c r="GH229" s="180"/>
      <c r="GT229" s="6"/>
      <c r="GY229" s="53"/>
      <c r="GZ229" s="182"/>
    </row>
    <row r="230" spans="1:213">
      <c r="A230" s="668">
        <v>37617</v>
      </c>
      <c r="B230" s="626">
        <f t="shared" si="527"/>
        <v>1381548</v>
      </c>
      <c r="C230" s="565">
        <f t="shared" si="529"/>
        <v>-211179</v>
      </c>
      <c r="D230" s="121">
        <f t="shared" si="530"/>
        <v>119949</v>
      </c>
      <c r="E230" s="121">
        <f t="shared" si="531"/>
        <v>6367</v>
      </c>
      <c r="F230" s="48">
        <f t="shared" si="480"/>
        <v>24490.166666666668</v>
      </c>
      <c r="G230" s="48">
        <f t="shared" si="481"/>
        <v>213636.07854957352</v>
      </c>
      <c r="H230" s="121">
        <f t="shared" si="532"/>
        <v>76404</v>
      </c>
      <c r="I230" s="121">
        <f t="shared" si="533"/>
        <v>165702</v>
      </c>
      <c r="J230" s="121">
        <f t="shared" si="534"/>
        <v>-89298</v>
      </c>
      <c r="K230" s="121"/>
      <c r="L230" s="121">
        <f t="shared" si="535"/>
        <v>439957</v>
      </c>
      <c r="M230" s="48">
        <f t="shared" si="483"/>
        <v>226214.21666666667</v>
      </c>
      <c r="N230" s="61">
        <f t="shared" si="484"/>
        <v>451762.32376581372</v>
      </c>
      <c r="O230" s="48">
        <f t="shared" si="485"/>
        <v>-402781.99043248035</v>
      </c>
      <c r="P230" s="121">
        <f t="shared" si="520"/>
        <v>492158.32341085264</v>
      </c>
      <c r="Q230" s="121">
        <f t="shared" si="520"/>
        <v>-282851.09860465111</v>
      </c>
      <c r="R230" s="626">
        <f t="shared" si="528"/>
        <v>1381548</v>
      </c>
      <c r="S230" s="121">
        <f t="shared" si="536"/>
        <v>241392</v>
      </c>
      <c r="T230" s="121">
        <f t="shared" si="500"/>
        <v>1418522.2143234741</v>
      </c>
      <c r="U230" s="121">
        <f t="shared" si="501"/>
        <v>776443.85114146117</v>
      </c>
      <c r="V230" s="52"/>
      <c r="W230" s="121">
        <f t="shared" si="537"/>
        <v>17041948</v>
      </c>
      <c r="X230" s="567">
        <f t="shared" si="538"/>
        <v>0.14254211770914846</v>
      </c>
      <c r="Y230" s="121">
        <f>W230*0.1733</f>
        <v>2953369.5884000002</v>
      </c>
      <c r="AA230" s="668"/>
      <c r="AE230" s="121"/>
      <c r="AF230" s="121"/>
      <c r="AG230" s="121"/>
      <c r="AH230" s="121"/>
      <c r="AI230" s="121"/>
      <c r="AJ230" s="121"/>
      <c r="AK230" s="25"/>
      <c r="AL230" s="25"/>
      <c r="AM230" s="626"/>
      <c r="AN230" s="121"/>
      <c r="AO230" s="121"/>
      <c r="AP230" s="121"/>
      <c r="AQ230" s="52"/>
      <c r="AR230" s="121"/>
      <c r="AS230" s="567"/>
      <c r="AT230" s="121"/>
      <c r="AV230" s="668"/>
      <c r="AW230" s="668"/>
      <c r="AX230" s="668"/>
      <c r="AY230" s="668"/>
      <c r="AZ230" s="626"/>
      <c r="BA230" s="565"/>
      <c r="BB230" s="121"/>
      <c r="BC230" s="121"/>
      <c r="BD230" s="121"/>
      <c r="BE230" s="121"/>
      <c r="BF230" s="121"/>
      <c r="BG230" s="121"/>
      <c r="BH230" s="121"/>
      <c r="BI230" s="25"/>
      <c r="BJ230" s="25"/>
      <c r="BK230" s="626"/>
      <c r="BL230" s="121"/>
      <c r="BM230" s="121"/>
      <c r="BN230" s="121"/>
      <c r="BO230" s="52"/>
      <c r="BP230" s="121"/>
      <c r="BQ230" s="567"/>
      <c r="BR230" s="121"/>
      <c r="BS230" s="6"/>
      <c r="CD230" s="121"/>
      <c r="CE230" s="121"/>
      <c r="CF230" s="25"/>
      <c r="CG230" s="25"/>
      <c r="CH230" s="626"/>
      <c r="CI230" s="121"/>
      <c r="CJ230" s="121"/>
      <c r="CK230" s="121"/>
      <c r="CL230" s="52"/>
      <c r="CM230" s="121"/>
      <c r="CN230" s="567"/>
      <c r="CO230" s="121"/>
      <c r="CQ230" s="668"/>
      <c r="CR230" s="626"/>
      <c r="CS230" s="565"/>
      <c r="CT230" s="121"/>
      <c r="CU230" s="121"/>
      <c r="CV230" s="121"/>
      <c r="CW230" s="121"/>
      <c r="CX230" s="121"/>
      <c r="CY230" s="121"/>
      <c r="CZ230" s="121"/>
      <c r="DA230" s="127"/>
      <c r="DB230" s="25"/>
      <c r="DC230" s="25"/>
      <c r="DD230" s="626"/>
      <c r="DE230" s="626"/>
      <c r="DF230" s="121"/>
      <c r="DG230" s="121"/>
      <c r="DH230" s="121"/>
      <c r="DI230" s="52"/>
      <c r="DJ230" s="121"/>
      <c r="DK230" s="567"/>
      <c r="DL230" s="121"/>
      <c r="DM230" s="6"/>
      <c r="DN230" s="668"/>
      <c r="DO230" s="626"/>
      <c r="DP230" s="565"/>
      <c r="DQ230" s="121"/>
      <c r="DR230" s="121"/>
      <c r="DS230" s="121"/>
      <c r="DT230" s="121"/>
      <c r="DU230" s="121"/>
      <c r="DV230" s="121"/>
      <c r="DW230" s="121"/>
      <c r="DX230" s="25"/>
      <c r="EF230" s="121"/>
      <c r="EG230" s="52"/>
      <c r="EH230" s="121"/>
      <c r="EI230" s="567"/>
      <c r="EJ230" s="121"/>
      <c r="EL230" s="668"/>
      <c r="EM230" s="626"/>
      <c r="EN230" s="565"/>
      <c r="EO230" s="121"/>
      <c r="EP230" s="121"/>
      <c r="EQ230" s="121"/>
      <c r="ER230" s="121"/>
      <c r="ES230" s="121"/>
      <c r="ET230" s="121"/>
      <c r="EU230" s="121"/>
      <c r="EV230" s="25"/>
      <c r="EW230" s="25"/>
      <c r="EX230" s="626"/>
      <c r="EY230" s="121"/>
      <c r="EZ230" s="121"/>
      <c r="FA230" s="121"/>
      <c r="FB230" s="121"/>
      <c r="FC230" s="52"/>
      <c r="FD230" s="121"/>
      <c r="FE230" s="567"/>
      <c r="FF230" s="567"/>
      <c r="FG230" s="121"/>
      <c r="FI230" s="668"/>
      <c r="FJ230" s="626"/>
      <c r="FK230" s="565"/>
      <c r="FL230" s="121"/>
      <c r="FM230" s="121"/>
      <c r="FN230" s="121"/>
      <c r="FO230" s="121"/>
      <c r="FP230" s="121"/>
      <c r="FQ230" s="121"/>
      <c r="FR230" s="121"/>
      <c r="FS230" s="25"/>
      <c r="FT230" s="25"/>
      <c r="FU230" s="626"/>
      <c r="FV230" s="121"/>
      <c r="FW230" s="121"/>
      <c r="FX230" s="121"/>
      <c r="FY230" s="121"/>
      <c r="FZ230" s="121"/>
      <c r="GA230" s="121"/>
      <c r="GB230" s="121"/>
      <c r="GC230" s="121"/>
      <c r="GD230" s="52"/>
      <c r="GE230" s="52"/>
      <c r="GF230" s="121"/>
      <c r="GG230" s="567"/>
      <c r="GH230" s="180"/>
      <c r="GL230" s="565"/>
      <c r="GM230" s="121"/>
      <c r="GN230" s="121"/>
      <c r="GO230" s="121"/>
      <c r="GP230" s="121"/>
      <c r="GQ230" s="121"/>
      <c r="GR230" s="121"/>
      <c r="GS230" s="121"/>
      <c r="GT230" s="25"/>
      <c r="GU230" s="25"/>
      <c r="GV230" s="626"/>
      <c r="GW230" s="121"/>
      <c r="GX230" s="121"/>
      <c r="GY230" s="121"/>
      <c r="GZ230" s="52"/>
      <c r="HA230" s="121"/>
      <c r="HB230" s="567"/>
      <c r="HC230" s="121"/>
      <c r="HE230" s="668"/>
    </row>
    <row r="231" spans="1:213">
      <c r="A231" s="231">
        <v>37648</v>
      </c>
      <c r="B231" s="95">
        <f t="shared" ref="B231:B242" si="539">CB3</f>
        <v>1012893</v>
      </c>
      <c r="C231" s="48">
        <f>AU3</f>
        <v>-227970</v>
      </c>
      <c r="D231" s="127">
        <f t="shared" si="530"/>
        <v>-210371</v>
      </c>
      <c r="E231" s="127">
        <f t="shared" si="531"/>
        <v>-6816.166666666667</v>
      </c>
      <c r="F231" s="48">
        <f t="shared" si="480"/>
        <v>21855.816666666666</v>
      </c>
      <c r="G231" s="48">
        <f t="shared" si="481"/>
        <v>215783.57858833825</v>
      </c>
      <c r="H231" s="127">
        <f t="shared" si="532"/>
        <v>-81794</v>
      </c>
      <c r="I231" s="127">
        <f t="shared" si="533"/>
        <v>386166</v>
      </c>
      <c r="J231" s="127">
        <f t="shared" si="534"/>
        <v>-467960</v>
      </c>
      <c r="K231" s="127"/>
      <c r="L231" s="127">
        <f t="shared" ref="L231:L240" si="540">((C230-C231)^2)^0.5</f>
        <v>16791</v>
      </c>
      <c r="M231" s="48">
        <f t="shared" si="483"/>
        <v>224664.35</v>
      </c>
      <c r="N231" s="61">
        <f t="shared" si="484"/>
        <v>453422.97384334315</v>
      </c>
      <c r="O231" s="48">
        <f t="shared" si="485"/>
        <v>-409711.34051000985</v>
      </c>
      <c r="P231" s="25">
        <f t="shared" si="520"/>
        <v>492158.32341085264</v>
      </c>
      <c r="Q231" s="25">
        <f t="shared" si="520"/>
        <v>-282851.09860465111</v>
      </c>
      <c r="R231" s="677">
        <f t="shared" ref="R231:R242" si="541">CB3</f>
        <v>1012893</v>
      </c>
      <c r="S231" s="127">
        <f t="shared" ref="S231:S240" si="542">IF(R231&gt;0,ABS(R230-R231)," ")</f>
        <v>368655</v>
      </c>
      <c r="T231" s="127">
        <f t="shared" si="500"/>
        <v>1418522.2143234741</v>
      </c>
      <c r="U231" s="127">
        <f t="shared" si="501"/>
        <v>776443.85114146117</v>
      </c>
      <c r="V231" s="88"/>
      <c r="W231" s="127">
        <f t="shared" ref="W231:W240" si="543">SUM(R220:R231)</f>
        <v>17063224</v>
      </c>
      <c r="X231" s="623">
        <f t="shared" ref="X231:X240" si="544">(W231-W219)/W219</f>
        <v>0.12147078670376242</v>
      </c>
      <c r="Y231" s="127">
        <f t="shared" ref="Y231:Y240" si="545">W231*0.1733</f>
        <v>2957056.7192000002</v>
      </c>
      <c r="DI231" s="6"/>
      <c r="DU231" s="55"/>
      <c r="GF231" s="6"/>
      <c r="GH231" s="180"/>
      <c r="GT231" s="6"/>
      <c r="GY231" s="53"/>
      <c r="GZ231" s="182"/>
    </row>
    <row r="232" spans="1:213">
      <c r="A232" s="231">
        <v>37679</v>
      </c>
      <c r="B232" s="95">
        <f t="shared" si="539"/>
        <v>1032371</v>
      </c>
      <c r="C232" s="48">
        <f t="shared" ref="C232:C240" si="546">AU4</f>
        <v>-268790</v>
      </c>
      <c r="D232" s="127">
        <f t="shared" si="530"/>
        <v>-707939</v>
      </c>
      <c r="E232" s="127">
        <f t="shared" si="531"/>
        <v>-35847.5</v>
      </c>
      <c r="F232" s="48">
        <f t="shared" si="480"/>
        <v>16838.066666666666</v>
      </c>
      <c r="G232" s="48">
        <f t="shared" si="481"/>
        <v>219013.44192846111</v>
      </c>
      <c r="H232" s="127">
        <f t="shared" si="532"/>
        <v>-430170</v>
      </c>
      <c r="I232" s="127">
        <f t="shared" si="533"/>
        <v>732712</v>
      </c>
      <c r="J232" s="127">
        <f t="shared" si="534"/>
        <v>-1162882</v>
      </c>
      <c r="K232" s="25">
        <f>AVERAGE(C230+C231+C232)</f>
        <v>-707939</v>
      </c>
      <c r="L232" s="127">
        <f t="shared" si="540"/>
        <v>40820</v>
      </c>
      <c r="M232" s="48">
        <f t="shared" si="483"/>
        <v>223641.61666666667</v>
      </c>
      <c r="N232" s="61">
        <f t="shared" si="484"/>
        <v>454864.95052358886</v>
      </c>
      <c r="O232" s="48">
        <f t="shared" si="485"/>
        <v>-421188.81719025556</v>
      </c>
      <c r="P232" s="25">
        <f t="shared" ref="P232:Q251" si="547">P426</f>
        <v>492158.32341085264</v>
      </c>
      <c r="Q232" s="25">
        <f t="shared" si="547"/>
        <v>-282851.09860465111</v>
      </c>
      <c r="R232" s="677">
        <f t="shared" si="541"/>
        <v>1032371</v>
      </c>
      <c r="S232" s="127">
        <f t="shared" si="542"/>
        <v>19478</v>
      </c>
      <c r="T232" s="127">
        <f t="shared" si="500"/>
        <v>1418522.2143234741</v>
      </c>
      <c r="U232" s="127">
        <f t="shared" si="501"/>
        <v>776443.85114146117</v>
      </c>
      <c r="V232" s="88"/>
      <c r="W232" s="127">
        <f t="shared" si="543"/>
        <v>16738528</v>
      </c>
      <c r="X232" s="623">
        <f t="shared" si="544"/>
        <v>6.204749165657876E-2</v>
      </c>
      <c r="Y232" s="127">
        <f t="shared" si="545"/>
        <v>2900786.9024</v>
      </c>
      <c r="AB232" s="626"/>
      <c r="AC232" s="565"/>
      <c r="AD232" s="121"/>
      <c r="DI232" s="6"/>
      <c r="DU232" s="55"/>
      <c r="GF232" s="6"/>
      <c r="GH232" s="180"/>
      <c r="GT232" s="6"/>
      <c r="GY232" s="53"/>
      <c r="GZ232" s="182"/>
    </row>
    <row r="233" spans="1:213">
      <c r="A233" s="231">
        <v>37707</v>
      </c>
      <c r="B233" s="95">
        <f t="shared" si="539"/>
        <v>1438826</v>
      </c>
      <c r="C233" s="48">
        <f t="shared" si="546"/>
        <v>26287</v>
      </c>
      <c r="D233" s="127">
        <f t="shared" si="530"/>
        <v>-470473</v>
      </c>
      <c r="E233" s="127">
        <f t="shared" si="531"/>
        <v>-33563.5</v>
      </c>
      <c r="F233" s="48">
        <f t="shared" si="480"/>
        <v>8555.5833333333339</v>
      </c>
      <c r="G233" s="48">
        <f t="shared" si="481"/>
        <v>208691.67999392754</v>
      </c>
      <c r="H233" s="127">
        <f t="shared" si="532"/>
        <v>-402762</v>
      </c>
      <c r="I233" s="127">
        <f t="shared" si="533"/>
        <v>297565</v>
      </c>
      <c r="J233" s="127">
        <f t="shared" si="534"/>
        <v>-700327</v>
      </c>
      <c r="K233" s="127"/>
      <c r="L233" s="127">
        <f t="shared" si="540"/>
        <v>295077</v>
      </c>
      <c r="M233" s="48">
        <f t="shared" si="483"/>
        <v>220376.88333333333</v>
      </c>
      <c r="N233" s="61">
        <f t="shared" si="484"/>
        <v>425938.94332118839</v>
      </c>
      <c r="O233" s="48">
        <f t="shared" si="485"/>
        <v>-408827.77665452176</v>
      </c>
      <c r="P233" s="25">
        <f t="shared" si="547"/>
        <v>492158.32341085264</v>
      </c>
      <c r="Q233" s="25">
        <f t="shared" si="547"/>
        <v>-282851.09860465111</v>
      </c>
      <c r="R233" s="677">
        <f t="shared" si="541"/>
        <v>1438826</v>
      </c>
      <c r="S233" s="127">
        <f t="shared" si="542"/>
        <v>406455</v>
      </c>
      <c r="T233" s="127">
        <f t="shared" si="500"/>
        <v>1418522.2143234741</v>
      </c>
      <c r="U233" s="127">
        <f t="shared" si="501"/>
        <v>776443.85114146117</v>
      </c>
      <c r="V233" s="88"/>
      <c r="W233" s="127">
        <f t="shared" si="543"/>
        <v>16686128</v>
      </c>
      <c r="X233" s="623">
        <f t="shared" si="544"/>
        <v>6.4737468548977384E-2</v>
      </c>
      <c r="Y233" s="127">
        <f t="shared" si="545"/>
        <v>2891705.9824000001</v>
      </c>
      <c r="DI233" s="6"/>
      <c r="DU233" s="55"/>
      <c r="GF233" s="6"/>
      <c r="GH233" s="180"/>
      <c r="GT233" s="6"/>
      <c r="GY233" s="53"/>
      <c r="GZ233" s="182"/>
    </row>
    <row r="234" spans="1:213">
      <c r="A234" s="231">
        <v>37738</v>
      </c>
      <c r="B234" s="95">
        <f t="shared" si="539"/>
        <v>1677345</v>
      </c>
      <c r="C234" s="48">
        <f t="shared" si="546"/>
        <v>174418</v>
      </c>
      <c r="D234" s="127">
        <f t="shared" si="530"/>
        <v>-68085</v>
      </c>
      <c r="E234" s="127">
        <f t="shared" si="531"/>
        <v>-19852.416666666668</v>
      </c>
      <c r="F234" s="48">
        <f t="shared" si="480"/>
        <v>11183.15</v>
      </c>
      <c r="G234" s="48">
        <f t="shared" si="481"/>
        <v>209786.39408248014</v>
      </c>
      <c r="H234" s="127">
        <f t="shared" si="532"/>
        <v>-238229</v>
      </c>
      <c r="I234" s="127">
        <f t="shared" si="533"/>
        <v>142841</v>
      </c>
      <c r="J234" s="127">
        <f t="shared" si="534"/>
        <v>-381070</v>
      </c>
      <c r="K234" s="127"/>
      <c r="L234" s="127">
        <f t="shared" si="540"/>
        <v>148131</v>
      </c>
      <c r="M234" s="48">
        <f t="shared" si="483"/>
        <v>214404.53333333333</v>
      </c>
      <c r="N234" s="61">
        <f t="shared" si="484"/>
        <v>430755.9381649603</v>
      </c>
      <c r="O234" s="48">
        <f t="shared" si="485"/>
        <v>-408389.63816496026</v>
      </c>
      <c r="P234" s="25">
        <f t="shared" si="547"/>
        <v>492158.32341085264</v>
      </c>
      <c r="Q234" s="25">
        <f t="shared" si="547"/>
        <v>-282851.09860465111</v>
      </c>
      <c r="R234" s="677">
        <f t="shared" si="541"/>
        <v>1677345</v>
      </c>
      <c r="S234" s="127">
        <f t="shared" si="542"/>
        <v>238519</v>
      </c>
      <c r="T234" s="127">
        <f t="shared" si="500"/>
        <v>1418522.2143234741</v>
      </c>
      <c r="U234" s="127">
        <f t="shared" si="501"/>
        <v>776443.85114146117</v>
      </c>
      <c r="V234" s="88"/>
      <c r="W234" s="127">
        <f t="shared" si="543"/>
        <v>17050496</v>
      </c>
      <c r="X234" s="623">
        <f t="shared" si="544"/>
        <v>9.36224551809033E-2</v>
      </c>
      <c r="Y234" s="127">
        <f t="shared" si="545"/>
        <v>2954850.9568000003</v>
      </c>
      <c r="DI234" s="6"/>
      <c r="DU234" s="55"/>
      <c r="GF234" s="6"/>
      <c r="GH234" s="180"/>
      <c r="GT234" s="6"/>
      <c r="GY234" s="53"/>
      <c r="GZ234" s="182"/>
    </row>
    <row r="235" spans="1:213">
      <c r="A235" s="231">
        <v>37768</v>
      </c>
      <c r="B235" s="95">
        <f t="shared" si="539"/>
        <v>1762052</v>
      </c>
      <c r="C235" s="48">
        <f t="shared" si="546"/>
        <v>119169</v>
      </c>
      <c r="D235" s="127">
        <f t="shared" si="530"/>
        <v>319874</v>
      </c>
      <c r="E235" s="127">
        <f t="shared" si="531"/>
        <v>-28064.583333333332</v>
      </c>
      <c r="F235" s="48">
        <f t="shared" si="480"/>
        <v>6369.9</v>
      </c>
      <c r="G235" s="48">
        <f t="shared" si="481"/>
        <v>203754.8125968138</v>
      </c>
      <c r="H235" s="127">
        <f t="shared" si="532"/>
        <v>-336775</v>
      </c>
      <c r="I235" s="127">
        <f t="shared" si="533"/>
        <v>-85499</v>
      </c>
      <c r="J235" s="127">
        <f t="shared" si="534"/>
        <v>-251276</v>
      </c>
      <c r="K235" s="127"/>
      <c r="L235" s="127">
        <f t="shared" si="540"/>
        <v>55249</v>
      </c>
      <c r="M235" s="48">
        <f t="shared" si="483"/>
        <v>208805.35</v>
      </c>
      <c r="N235" s="61">
        <f t="shared" si="484"/>
        <v>413879.52519362763</v>
      </c>
      <c r="O235" s="48">
        <f t="shared" si="485"/>
        <v>-401139.72519362759</v>
      </c>
      <c r="P235" s="25">
        <f t="shared" si="547"/>
        <v>492158.32341085264</v>
      </c>
      <c r="Q235" s="25">
        <f t="shared" si="547"/>
        <v>-282851.09860465111</v>
      </c>
      <c r="R235" s="677">
        <f t="shared" si="541"/>
        <v>1762052</v>
      </c>
      <c r="S235" s="127">
        <f t="shared" si="542"/>
        <v>84707</v>
      </c>
      <c r="T235" s="127">
        <f t="shared" si="500"/>
        <v>1418522.2143234741</v>
      </c>
      <c r="U235" s="127">
        <f t="shared" si="501"/>
        <v>776443.85114146117</v>
      </c>
      <c r="V235" s="88"/>
      <c r="W235" s="127">
        <f t="shared" si="543"/>
        <v>17111252</v>
      </c>
      <c r="X235" s="623">
        <f t="shared" si="544"/>
        <v>0.10046454727943716</v>
      </c>
      <c r="Y235" s="127">
        <f t="shared" si="545"/>
        <v>2965379.9716000003</v>
      </c>
      <c r="DI235" s="6"/>
      <c r="DU235" s="55"/>
      <c r="GF235" s="6"/>
      <c r="GH235" s="180"/>
      <c r="GT235" s="6"/>
      <c r="GY235" s="53"/>
      <c r="GZ235" s="182"/>
    </row>
    <row r="236" spans="1:213">
      <c r="A236" s="231">
        <v>37799</v>
      </c>
      <c r="B236" s="95">
        <f t="shared" si="539"/>
        <v>2304330</v>
      </c>
      <c r="C236" s="48">
        <f t="shared" si="546"/>
        <v>748705</v>
      </c>
      <c r="D236" s="127">
        <f t="shared" si="530"/>
        <v>1042292</v>
      </c>
      <c r="E236" s="127">
        <f t="shared" si="531"/>
        <v>36514.5</v>
      </c>
      <c r="F236" s="48">
        <f t="shared" si="480"/>
        <v>17767.650000000001</v>
      </c>
      <c r="G236" s="48">
        <f t="shared" si="481"/>
        <v>225091.07465682321</v>
      </c>
      <c r="H236" s="127">
        <f t="shared" si="532"/>
        <v>438174</v>
      </c>
      <c r="I236" s="127">
        <f t="shared" si="533"/>
        <v>-306146</v>
      </c>
      <c r="J236" s="127">
        <f t="shared" si="534"/>
        <v>744320</v>
      </c>
      <c r="K236" s="127"/>
      <c r="L236" s="127">
        <f t="shared" si="540"/>
        <v>629536</v>
      </c>
      <c r="M236" s="48">
        <f t="shared" si="483"/>
        <v>213578.88333333333</v>
      </c>
      <c r="N236" s="61">
        <f t="shared" si="484"/>
        <v>467949.79931364645</v>
      </c>
      <c r="O236" s="48">
        <f t="shared" si="485"/>
        <v>-432414.4993136464</v>
      </c>
      <c r="P236" s="25">
        <f t="shared" si="547"/>
        <v>492158.32341085264</v>
      </c>
      <c r="Q236" s="25">
        <f t="shared" si="547"/>
        <v>-282851.09860465111</v>
      </c>
      <c r="R236" s="677">
        <f t="shared" si="541"/>
        <v>2304330</v>
      </c>
      <c r="S236" s="127">
        <f t="shared" si="542"/>
        <v>542278</v>
      </c>
      <c r="T236" s="127">
        <f t="shared" si="500"/>
        <v>1418522.2143234741</v>
      </c>
      <c r="U236" s="127">
        <f t="shared" si="501"/>
        <v>776443.85114146117</v>
      </c>
      <c r="V236" s="88"/>
      <c r="W236" s="127">
        <f t="shared" si="543"/>
        <v>17846266</v>
      </c>
      <c r="X236" s="623">
        <f t="shared" si="544"/>
        <v>0.15021992488169109</v>
      </c>
      <c r="Y236" s="127">
        <f t="shared" si="545"/>
        <v>3092757.8978000004</v>
      </c>
      <c r="DI236" s="6"/>
      <c r="DU236" s="55"/>
      <c r="GF236" s="6"/>
      <c r="GH236" s="121"/>
      <c r="GJ236" s="668"/>
      <c r="GK236" s="626"/>
      <c r="GT236" s="6"/>
      <c r="GY236" s="53"/>
      <c r="GZ236" s="182"/>
    </row>
    <row r="237" spans="1:213">
      <c r="A237" s="231">
        <v>37829</v>
      </c>
      <c r="B237" s="95">
        <f t="shared" si="539"/>
        <v>1828259</v>
      </c>
      <c r="C237" s="48">
        <f t="shared" si="546"/>
        <v>230657</v>
      </c>
      <c r="D237" s="127">
        <f t="shared" si="530"/>
        <v>1098531</v>
      </c>
      <c r="E237" s="127">
        <f t="shared" si="531"/>
        <v>64926.583333333336</v>
      </c>
      <c r="F237" s="48">
        <f t="shared" si="480"/>
        <v>25506.6</v>
      </c>
      <c r="G237" s="48">
        <f t="shared" si="481"/>
        <v>224280.24219660877</v>
      </c>
      <c r="H237" s="127">
        <f t="shared" si="532"/>
        <v>779119</v>
      </c>
      <c r="I237" s="127">
        <f t="shared" si="533"/>
        <v>-67402</v>
      </c>
      <c r="J237" s="127">
        <f t="shared" si="534"/>
        <v>846521</v>
      </c>
      <c r="K237" s="127"/>
      <c r="L237" s="127">
        <f t="shared" si="540"/>
        <v>518048</v>
      </c>
      <c r="M237" s="48">
        <f t="shared" si="483"/>
        <v>217237.68333333332</v>
      </c>
      <c r="N237" s="61">
        <f t="shared" si="484"/>
        <v>474067.08439321752</v>
      </c>
      <c r="O237" s="48">
        <f t="shared" si="485"/>
        <v>-423053.88439321757</v>
      </c>
      <c r="P237" s="25">
        <f t="shared" si="547"/>
        <v>492158.32341085264</v>
      </c>
      <c r="Q237" s="25">
        <f t="shared" si="547"/>
        <v>-282851.09860465111</v>
      </c>
      <c r="R237" s="677">
        <f t="shared" si="541"/>
        <v>1828259</v>
      </c>
      <c r="S237" s="127">
        <f t="shared" si="542"/>
        <v>476071</v>
      </c>
      <c r="T237" s="127">
        <f t="shared" si="500"/>
        <v>1418522.2143234741</v>
      </c>
      <c r="U237" s="127">
        <f t="shared" si="501"/>
        <v>776443.85114146117</v>
      </c>
      <c r="V237" s="88"/>
      <c r="W237" s="127">
        <f t="shared" si="543"/>
        <v>18355706</v>
      </c>
      <c r="X237" s="623">
        <f t="shared" si="544"/>
        <v>0.16058671392716881</v>
      </c>
      <c r="Y237" s="127">
        <f t="shared" si="545"/>
        <v>3181043.8498</v>
      </c>
      <c r="DI237" s="6"/>
      <c r="DU237" s="55"/>
      <c r="GF237" s="6"/>
      <c r="GH237" s="180"/>
      <c r="GT237" s="6"/>
      <c r="GY237" s="53"/>
      <c r="GZ237" s="182"/>
    </row>
    <row r="238" spans="1:213">
      <c r="A238" s="231">
        <v>37860</v>
      </c>
      <c r="B238" s="95">
        <f t="shared" si="539"/>
        <v>1806018</v>
      </c>
      <c r="C238" s="48">
        <f t="shared" si="546"/>
        <v>114891</v>
      </c>
      <c r="D238" s="127">
        <f t="shared" si="530"/>
        <v>1094253</v>
      </c>
      <c r="E238" s="127">
        <f t="shared" si="531"/>
        <v>83030.666666666672</v>
      </c>
      <c r="F238" s="48">
        <f t="shared" si="480"/>
        <v>31619.966666666667</v>
      </c>
      <c r="G238" s="48">
        <f t="shared" si="481"/>
        <v>221573.06046860162</v>
      </c>
      <c r="H238" s="127">
        <f t="shared" si="532"/>
        <v>996368</v>
      </c>
      <c r="I238" s="127">
        <f t="shared" si="533"/>
        <v>-214124</v>
      </c>
      <c r="J238" s="127">
        <f t="shared" si="534"/>
        <v>1210492</v>
      </c>
      <c r="K238" s="127"/>
      <c r="L238" s="127">
        <f t="shared" si="540"/>
        <v>115766</v>
      </c>
      <c r="M238" s="48">
        <f t="shared" si="483"/>
        <v>218863.26666666666</v>
      </c>
      <c r="N238" s="61">
        <f t="shared" si="484"/>
        <v>474766.08760386991</v>
      </c>
      <c r="O238" s="48">
        <f t="shared" si="485"/>
        <v>-411526.15427053656</v>
      </c>
      <c r="P238" s="25">
        <f t="shared" si="547"/>
        <v>492158.32341085264</v>
      </c>
      <c r="Q238" s="25">
        <f t="shared" si="547"/>
        <v>-282851.09860465111</v>
      </c>
      <c r="R238" s="677">
        <f t="shared" si="541"/>
        <v>1806018</v>
      </c>
      <c r="S238" s="127">
        <f t="shared" si="542"/>
        <v>22241</v>
      </c>
      <c r="T238" s="127">
        <f t="shared" si="500"/>
        <v>1418522.2143234741</v>
      </c>
      <c r="U238" s="127">
        <f t="shared" si="501"/>
        <v>776443.85114146117</v>
      </c>
      <c r="V238" s="88"/>
      <c r="W238" s="127">
        <f t="shared" si="543"/>
        <v>18687586</v>
      </c>
      <c r="X238" s="623">
        <f t="shared" si="544"/>
        <v>0.16420907285837602</v>
      </c>
      <c r="Y238" s="127">
        <f t="shared" si="545"/>
        <v>3238558.6538</v>
      </c>
      <c r="DI238" s="6"/>
      <c r="DU238" s="55"/>
      <c r="GF238" s="6"/>
      <c r="GH238" s="180"/>
      <c r="GT238" s="6"/>
      <c r="GY238" s="53"/>
      <c r="GZ238" s="182"/>
    </row>
    <row r="239" spans="1:213">
      <c r="A239" s="231">
        <v>37891</v>
      </c>
      <c r="B239" s="95">
        <f t="shared" si="539"/>
        <v>1765807</v>
      </c>
      <c r="C239" s="48">
        <f t="shared" si="546"/>
        <v>170534</v>
      </c>
      <c r="D239" s="127">
        <f t="shared" si="530"/>
        <v>516082</v>
      </c>
      <c r="E239" s="127">
        <f t="shared" si="531"/>
        <v>100654.16666666667</v>
      </c>
      <c r="F239" s="48">
        <f t="shared" si="480"/>
        <v>34368.01666666667</v>
      </c>
      <c r="G239" s="48">
        <f t="shared" si="481"/>
        <v>222266.91318456046</v>
      </c>
      <c r="H239" s="127">
        <f t="shared" si="532"/>
        <v>1207850</v>
      </c>
      <c r="I239" s="127">
        <f t="shared" si="533"/>
        <v>-331286</v>
      </c>
      <c r="J239" s="127">
        <f t="shared" si="534"/>
        <v>1539136</v>
      </c>
      <c r="K239" s="127"/>
      <c r="L239" s="127">
        <f t="shared" si="540"/>
        <v>55643</v>
      </c>
      <c r="M239" s="48">
        <f t="shared" si="483"/>
        <v>215497.95</v>
      </c>
      <c r="N239" s="61">
        <f t="shared" si="484"/>
        <v>478901.84303578758</v>
      </c>
      <c r="O239" s="48">
        <f t="shared" si="485"/>
        <v>-410165.80970245425</v>
      </c>
      <c r="P239" s="25">
        <f t="shared" si="547"/>
        <v>492158.32341085264</v>
      </c>
      <c r="Q239" s="25">
        <f t="shared" si="547"/>
        <v>-282851.09860465111</v>
      </c>
      <c r="R239" s="677">
        <f t="shared" si="541"/>
        <v>1765807</v>
      </c>
      <c r="S239" s="127">
        <f t="shared" si="542"/>
        <v>40211</v>
      </c>
      <c r="T239" s="127">
        <f t="shared" si="500"/>
        <v>1418522.2143234741</v>
      </c>
      <c r="U239" s="127">
        <f t="shared" si="501"/>
        <v>776443.85114146117</v>
      </c>
      <c r="V239" s="88"/>
      <c r="W239" s="127">
        <f t="shared" si="543"/>
        <v>19147199</v>
      </c>
      <c r="X239" s="623">
        <f t="shared" si="544"/>
        <v>0.18893131169298408</v>
      </c>
      <c r="Y239" s="127">
        <f t="shared" si="545"/>
        <v>3318209.5867000003</v>
      </c>
      <c r="DI239" s="6"/>
      <c r="DU239" s="55"/>
      <c r="GF239" s="6"/>
      <c r="GH239" s="180"/>
      <c r="GT239" s="6"/>
      <c r="GY239" s="53"/>
      <c r="GZ239" s="182"/>
    </row>
    <row r="240" spans="1:213">
      <c r="A240" s="231">
        <v>37921</v>
      </c>
      <c r="B240" s="95">
        <f t="shared" si="539"/>
        <v>1890034</v>
      </c>
      <c r="C240" s="48">
        <f t="shared" si="546"/>
        <v>350656</v>
      </c>
      <c r="D240" s="127">
        <f t="shared" si="530"/>
        <v>636081</v>
      </c>
      <c r="E240" s="127">
        <f t="shared" si="531"/>
        <v>121346.33333333333</v>
      </c>
      <c r="F240" s="48">
        <f t="shared" si="480"/>
        <v>41250.583333333336</v>
      </c>
      <c r="G240" s="48">
        <f t="shared" si="481"/>
        <v>225591.64574951792</v>
      </c>
      <c r="H240" s="127">
        <f t="shared" si="532"/>
        <v>1456156</v>
      </c>
      <c r="I240" s="127">
        <f t="shared" si="533"/>
        <v>-140259</v>
      </c>
      <c r="J240" s="127">
        <f t="shared" si="534"/>
        <v>1596415</v>
      </c>
      <c r="K240" s="127"/>
      <c r="L240" s="127">
        <f t="shared" si="540"/>
        <v>180122</v>
      </c>
      <c r="M240" s="48">
        <f t="shared" si="483"/>
        <v>217367.5</v>
      </c>
      <c r="N240" s="61">
        <f t="shared" si="484"/>
        <v>492433.87483236915</v>
      </c>
      <c r="O240" s="48">
        <f t="shared" si="485"/>
        <v>-409932.70816570253</v>
      </c>
      <c r="P240" s="25">
        <f t="shared" si="547"/>
        <v>492158.32341085264</v>
      </c>
      <c r="Q240" s="25">
        <f t="shared" si="547"/>
        <v>-282851.09860465111</v>
      </c>
      <c r="R240" s="677">
        <f t="shared" si="541"/>
        <v>1890034</v>
      </c>
      <c r="S240" s="127">
        <f t="shared" si="542"/>
        <v>124227</v>
      </c>
      <c r="T240" s="127">
        <f t="shared" si="500"/>
        <v>1418522.2143234741</v>
      </c>
      <c r="U240" s="127">
        <f t="shared" si="501"/>
        <v>776443.85114146117</v>
      </c>
      <c r="V240" s="88"/>
      <c r="W240" s="127">
        <f t="shared" si="543"/>
        <v>19522423</v>
      </c>
      <c r="X240" s="623">
        <f t="shared" si="544"/>
        <v>0.18238788968381953</v>
      </c>
      <c r="Y240" s="127">
        <f t="shared" si="545"/>
        <v>3383235.9059000001</v>
      </c>
      <c r="DI240" s="6"/>
      <c r="DU240" s="55"/>
      <c r="GF240" s="6"/>
      <c r="GH240" s="180"/>
      <c r="GT240" s="6"/>
      <c r="GY240" s="53"/>
      <c r="GZ240" s="182"/>
    </row>
    <row r="241" spans="1:213">
      <c r="A241" s="231">
        <v>37952</v>
      </c>
      <c r="B241" s="95">
        <f t="shared" si="539"/>
        <v>1658112</v>
      </c>
      <c r="C241" s="48">
        <f>AU13</f>
        <v>90307</v>
      </c>
      <c r="D241" s="127">
        <f t="shared" ref="D241:D246" si="548">C241+C240+C239</f>
        <v>611497</v>
      </c>
      <c r="E241" s="127">
        <f t="shared" ref="E241:E246" si="549">AVERAGE(C230:C241)</f>
        <v>109807.08333333333</v>
      </c>
      <c r="F241" s="48">
        <f t="shared" si="480"/>
        <v>39966.566666666666</v>
      </c>
      <c r="G241" s="48">
        <f t="shared" si="481"/>
        <v>225080.43379203894</v>
      </c>
      <c r="H241" s="127">
        <f t="shared" ref="H241:H246" si="550">SUM(C230:C241)</f>
        <v>1317685</v>
      </c>
      <c r="I241" s="127">
        <f t="shared" ref="I241:I246" si="551">H229</f>
        <v>166113</v>
      </c>
      <c r="J241" s="127">
        <f t="shared" ref="J241:J246" si="552">H241-I241</f>
        <v>1151572</v>
      </c>
      <c r="K241" s="127"/>
      <c r="L241" s="127">
        <f t="shared" ref="L241:L246" si="553">((C240-C241)^2)^0.5</f>
        <v>260349</v>
      </c>
      <c r="M241" s="48">
        <f t="shared" si="483"/>
        <v>217879.21666666667</v>
      </c>
      <c r="N241" s="61">
        <f t="shared" si="484"/>
        <v>490127.43425074453</v>
      </c>
      <c r="O241" s="48">
        <f t="shared" si="485"/>
        <v>-410194.30091741122</v>
      </c>
      <c r="P241" s="25">
        <f t="shared" si="547"/>
        <v>492158.32341085264</v>
      </c>
      <c r="Q241" s="25">
        <f t="shared" si="547"/>
        <v>-282851.09860465111</v>
      </c>
      <c r="R241" s="677">
        <f t="shared" si="541"/>
        <v>1658112</v>
      </c>
      <c r="S241" s="127">
        <f t="shared" ref="S241:S246" si="554">IF(R241&gt;0,ABS(R240-R241)," ")</f>
        <v>231922</v>
      </c>
      <c r="T241" s="127">
        <f t="shared" si="500"/>
        <v>1418522.2143234741</v>
      </c>
      <c r="U241" s="127">
        <f t="shared" si="501"/>
        <v>776443.85114146117</v>
      </c>
      <c r="V241" s="88"/>
      <c r="W241" s="127">
        <f t="shared" ref="W241:W246" si="555">SUM(R230:R241)</f>
        <v>19557595</v>
      </c>
      <c r="X241" s="623">
        <f t="shared" ref="X241:X246" si="556">(W241-W229)/W229</f>
        <v>0.15362432110799304</v>
      </c>
      <c r="Y241" s="127">
        <f t="shared" ref="Y241:Y246" si="557">W241*0.1733</f>
        <v>3389331.2135000001</v>
      </c>
      <c r="BT241" s="668"/>
      <c r="BU241" s="626"/>
      <c r="BV241" s="565"/>
      <c r="BW241" s="121"/>
      <c r="BX241" s="121"/>
      <c r="BY241" s="121"/>
      <c r="BZ241" s="121"/>
      <c r="CA241" s="121"/>
      <c r="CB241" s="121"/>
      <c r="CC241" s="127"/>
      <c r="DI241" s="6"/>
      <c r="DU241" s="55"/>
      <c r="DY241" s="25"/>
      <c r="DZ241" s="25"/>
      <c r="EA241" s="626"/>
      <c r="EB241" s="121"/>
      <c r="EC241" s="121"/>
      <c r="ED241" s="121"/>
      <c r="EE241" s="121"/>
      <c r="GF241" s="6"/>
      <c r="GH241" s="180"/>
      <c r="GT241" s="6"/>
      <c r="GY241" s="53"/>
      <c r="GZ241" s="182"/>
    </row>
    <row r="242" spans="1:213">
      <c r="A242" s="668">
        <v>37982</v>
      </c>
      <c r="B242" s="626">
        <f t="shared" si="539"/>
        <v>2225883</v>
      </c>
      <c r="C242" s="565">
        <f>AU14</f>
        <v>-57392</v>
      </c>
      <c r="D242" s="121">
        <f t="shared" si="548"/>
        <v>383571</v>
      </c>
      <c r="E242" s="121">
        <f t="shared" si="549"/>
        <v>122622.66666666667</v>
      </c>
      <c r="F242" s="48">
        <f t="shared" si="480"/>
        <v>40209.666666666664</v>
      </c>
      <c r="G242" s="48">
        <f t="shared" si="481"/>
        <v>224965.32529519996</v>
      </c>
      <c r="H242" s="121">
        <f t="shared" si="550"/>
        <v>1471472</v>
      </c>
      <c r="I242" s="121">
        <f t="shared" si="551"/>
        <v>76404</v>
      </c>
      <c r="J242" s="121">
        <f t="shared" si="552"/>
        <v>1395068</v>
      </c>
      <c r="K242" s="121"/>
      <c r="L242" s="121">
        <f t="shared" si="553"/>
        <v>147699</v>
      </c>
      <c r="M242" s="48">
        <f t="shared" si="483"/>
        <v>216352.1</v>
      </c>
      <c r="N242" s="61">
        <f t="shared" si="484"/>
        <v>490140.31725706661</v>
      </c>
      <c r="O242" s="48">
        <f t="shared" si="485"/>
        <v>-409720.98392373323</v>
      </c>
      <c r="P242" s="121">
        <f t="shared" si="547"/>
        <v>492158.32341085264</v>
      </c>
      <c r="Q242" s="121">
        <f t="shared" si="547"/>
        <v>-282851.09860465111</v>
      </c>
      <c r="R242" s="626">
        <f t="shared" si="541"/>
        <v>2225883</v>
      </c>
      <c r="S242" s="121">
        <f t="shared" si="554"/>
        <v>567771</v>
      </c>
      <c r="T242" s="121">
        <f t="shared" si="500"/>
        <v>1418522.2143234741</v>
      </c>
      <c r="U242" s="121">
        <f t="shared" si="501"/>
        <v>776443.85114146117</v>
      </c>
      <c r="V242" s="52"/>
      <c r="W242" s="121">
        <f t="shared" si="555"/>
        <v>20401930</v>
      </c>
      <c r="X242" s="567">
        <f t="shared" si="556"/>
        <v>0.19715950312722466</v>
      </c>
      <c r="Y242" s="121">
        <f t="shared" si="557"/>
        <v>3535654.469</v>
      </c>
      <c r="Z242" s="52"/>
      <c r="AA242" s="668"/>
      <c r="AE242" s="121"/>
      <c r="AF242" s="121"/>
      <c r="AG242" s="121"/>
      <c r="AH242" s="121"/>
      <c r="AI242" s="121"/>
      <c r="AJ242" s="121"/>
      <c r="AK242" s="25"/>
      <c r="AL242" s="25"/>
      <c r="AM242" s="626"/>
      <c r="AN242" s="121"/>
      <c r="AO242" s="121"/>
      <c r="AP242" s="121"/>
      <c r="AQ242" s="52"/>
      <c r="AR242" s="121"/>
      <c r="AS242" s="567"/>
      <c r="AT242" s="121"/>
      <c r="AV242" s="668"/>
      <c r="AW242" s="668"/>
      <c r="AX242" s="668"/>
      <c r="AY242" s="668"/>
      <c r="AZ242" s="626"/>
      <c r="BA242" s="565"/>
      <c r="BB242" s="121"/>
      <c r="BC242" s="121"/>
      <c r="BD242" s="121"/>
      <c r="BE242" s="121"/>
      <c r="BF242" s="121"/>
      <c r="BG242" s="121"/>
      <c r="BH242" s="121"/>
      <c r="BI242" s="25"/>
      <c r="BJ242" s="25"/>
      <c r="BK242" s="626"/>
      <c r="BL242" s="121"/>
      <c r="BM242" s="121"/>
      <c r="BN242" s="121"/>
      <c r="BO242" s="52"/>
      <c r="BP242" s="121"/>
      <c r="BQ242" s="567"/>
      <c r="BR242" s="121"/>
      <c r="BS242" s="6"/>
      <c r="CD242" s="121"/>
      <c r="CE242" s="121"/>
      <c r="CF242" s="25"/>
      <c r="CG242" s="25"/>
      <c r="CH242" s="626"/>
      <c r="CI242" s="121"/>
      <c r="CJ242" s="121"/>
      <c r="CK242" s="121"/>
      <c r="CL242" s="52"/>
      <c r="CM242" s="121"/>
      <c r="CN242" s="567"/>
      <c r="CO242" s="121"/>
      <c r="CQ242" s="668"/>
      <c r="CR242" s="626"/>
      <c r="CS242" s="565"/>
      <c r="CT242" s="121"/>
      <c r="CU242" s="121"/>
      <c r="CV242" s="121"/>
      <c r="CW242" s="121"/>
      <c r="CX242" s="121"/>
      <c r="CY242" s="121"/>
      <c r="CZ242" s="121"/>
      <c r="DA242" s="127"/>
      <c r="DB242" s="25"/>
      <c r="DC242" s="25"/>
      <c r="DD242" s="626"/>
      <c r="DE242" s="626"/>
      <c r="DF242" s="121"/>
      <c r="DG242" s="121"/>
      <c r="DH242" s="121"/>
      <c r="DI242" s="52"/>
      <c r="DJ242" s="121"/>
      <c r="DK242" s="567"/>
      <c r="DL242" s="121"/>
      <c r="DM242" s="6"/>
      <c r="DN242" s="668"/>
      <c r="DO242" s="626"/>
      <c r="DP242" s="565"/>
      <c r="DQ242" s="121"/>
      <c r="DR242" s="121"/>
      <c r="DS242" s="121"/>
      <c r="DT242" s="121"/>
      <c r="DU242" s="121"/>
      <c r="DV242" s="121"/>
      <c r="DW242" s="121"/>
      <c r="DX242" s="25"/>
      <c r="EF242" s="121"/>
      <c r="EG242" s="52"/>
      <c r="EH242" s="121"/>
      <c r="EI242" s="567"/>
      <c r="EJ242" s="121"/>
      <c r="EL242" s="668"/>
      <c r="EM242" s="626"/>
      <c r="EN242" s="565"/>
      <c r="EO242" s="121"/>
      <c r="EP242" s="121"/>
      <c r="EQ242" s="121"/>
      <c r="ER242" s="121"/>
      <c r="ES242" s="121"/>
      <c r="ET242" s="121"/>
      <c r="EU242" s="121"/>
      <c r="EV242" s="25"/>
      <c r="EW242" s="25"/>
      <c r="EX242" s="626"/>
      <c r="EY242" s="121"/>
      <c r="EZ242" s="121"/>
      <c r="FA242" s="121"/>
      <c r="FB242" s="121"/>
      <c r="FC242" s="52"/>
      <c r="FD242" s="121"/>
      <c r="FE242" s="567"/>
      <c r="FF242" s="567"/>
      <c r="FG242" s="121"/>
      <c r="FI242" s="668"/>
      <c r="FJ242" s="626"/>
      <c r="FK242" s="565"/>
      <c r="FL242" s="121"/>
      <c r="FM242" s="121"/>
      <c r="FN242" s="121"/>
      <c r="FO242" s="121"/>
      <c r="FP242" s="121"/>
      <c r="FQ242" s="121"/>
      <c r="FR242" s="121"/>
      <c r="FS242" s="25"/>
      <c r="FT242" s="25"/>
      <c r="FU242" s="626"/>
      <c r="FV242" s="121"/>
      <c r="FW242" s="121"/>
      <c r="FX242" s="121"/>
      <c r="FY242" s="121"/>
      <c r="FZ242" s="121"/>
      <c r="GA242" s="121"/>
      <c r="GB242" s="121"/>
      <c r="GC242" s="121"/>
      <c r="GD242" s="52"/>
      <c r="GE242" s="52"/>
      <c r="GF242" s="121"/>
      <c r="GG242" s="567"/>
      <c r="GH242" s="180"/>
      <c r="GL242" s="565"/>
      <c r="GM242" s="121"/>
      <c r="GN242" s="121"/>
      <c r="GO242" s="121"/>
      <c r="GP242" s="121"/>
      <c r="GQ242" s="121"/>
      <c r="GR242" s="121"/>
      <c r="GS242" s="121"/>
      <c r="GT242" s="25"/>
      <c r="GU242" s="25"/>
      <c r="GV242" s="626"/>
      <c r="GW242" s="121"/>
      <c r="GX242" s="121"/>
      <c r="GY242" s="121"/>
      <c r="GZ242" s="52"/>
      <c r="HA242" s="121"/>
      <c r="HB242" s="567"/>
      <c r="HC242" s="121"/>
      <c r="HE242" s="668"/>
    </row>
    <row r="243" spans="1:213">
      <c r="A243" s="231">
        <v>38013</v>
      </c>
      <c r="B243" s="95">
        <f t="shared" ref="B243:B254" si="558">CC3</f>
        <v>1444774</v>
      </c>
      <c r="C243" s="48">
        <f>AV3</f>
        <v>82653</v>
      </c>
      <c r="D243" s="127">
        <f t="shared" si="548"/>
        <v>115568</v>
      </c>
      <c r="E243" s="127">
        <f t="shared" si="549"/>
        <v>148507.91666666666</v>
      </c>
      <c r="F243" s="48">
        <f t="shared" si="480"/>
        <v>44540.883333333331</v>
      </c>
      <c r="G243" s="48">
        <f t="shared" si="481"/>
        <v>223202.98080804458</v>
      </c>
      <c r="H243" s="127">
        <f t="shared" si="550"/>
        <v>1782095</v>
      </c>
      <c r="I243" s="127">
        <f t="shared" si="551"/>
        <v>-81794</v>
      </c>
      <c r="J243" s="127">
        <f t="shared" si="552"/>
        <v>1863889</v>
      </c>
      <c r="K243" s="127"/>
      <c r="L243" s="127">
        <f t="shared" si="553"/>
        <v>140045</v>
      </c>
      <c r="M243" s="48">
        <f t="shared" si="483"/>
        <v>216932.15</v>
      </c>
      <c r="N243" s="61">
        <f t="shared" si="484"/>
        <v>490946.84494942252</v>
      </c>
      <c r="O243" s="48">
        <f t="shared" si="485"/>
        <v>-401865.0782827558</v>
      </c>
      <c r="P243" s="25">
        <f t="shared" si="547"/>
        <v>492158.32341085264</v>
      </c>
      <c r="Q243" s="25">
        <f t="shared" si="547"/>
        <v>-282851.09860465111</v>
      </c>
      <c r="R243" s="677">
        <f>B243</f>
        <v>1444774</v>
      </c>
      <c r="S243" s="127">
        <f t="shared" si="554"/>
        <v>781109</v>
      </c>
      <c r="T243" s="127">
        <f t="shared" si="500"/>
        <v>1418522.2143234741</v>
      </c>
      <c r="U243" s="127">
        <f t="shared" si="501"/>
        <v>776443.85114146117</v>
      </c>
      <c r="V243" s="88"/>
      <c r="W243" s="127">
        <f t="shared" si="555"/>
        <v>20833811</v>
      </c>
      <c r="X243" s="623">
        <f t="shared" si="556"/>
        <v>0.22097740731763235</v>
      </c>
      <c r="Y243" s="127">
        <f t="shared" si="557"/>
        <v>3610499.4463000004</v>
      </c>
      <c r="DI243" s="6"/>
      <c r="DU243" s="55"/>
      <c r="GF243" s="6"/>
      <c r="GH243" s="180"/>
      <c r="GT243" s="6"/>
      <c r="GY243" s="53"/>
      <c r="GZ243" s="182"/>
    </row>
    <row r="244" spans="1:213">
      <c r="A244" s="231">
        <v>38044</v>
      </c>
      <c r="B244" s="95">
        <f t="shared" si="558"/>
        <v>1672737</v>
      </c>
      <c r="C244" s="48">
        <f t="shared" ref="C244:C249" si="559">AV4</f>
        <v>160431</v>
      </c>
      <c r="D244" s="127">
        <f t="shared" si="548"/>
        <v>185692</v>
      </c>
      <c r="E244" s="127">
        <f t="shared" si="549"/>
        <v>184276.33333333334</v>
      </c>
      <c r="F244" s="48">
        <f t="shared" si="480"/>
        <v>46740.033333333333</v>
      </c>
      <c r="G244" s="48">
        <f t="shared" si="481"/>
        <v>223691.56745272383</v>
      </c>
      <c r="H244" s="127">
        <f t="shared" si="550"/>
        <v>2211316</v>
      </c>
      <c r="I244" s="127">
        <f t="shared" si="551"/>
        <v>-430170</v>
      </c>
      <c r="J244" s="127">
        <f t="shared" si="552"/>
        <v>2641486</v>
      </c>
      <c r="K244" s="25">
        <f>AVERAGE(C242+C243+C244)</f>
        <v>185692</v>
      </c>
      <c r="L244" s="127">
        <f t="shared" si="553"/>
        <v>77778</v>
      </c>
      <c r="M244" s="48">
        <f t="shared" si="483"/>
        <v>214800.08333333334</v>
      </c>
      <c r="N244" s="61">
        <f t="shared" si="484"/>
        <v>494123.16823878099</v>
      </c>
      <c r="O244" s="48">
        <f t="shared" si="485"/>
        <v>-400643.10157211433</v>
      </c>
      <c r="P244" s="25">
        <f t="shared" si="547"/>
        <v>492158.32341085264</v>
      </c>
      <c r="Q244" s="25">
        <f t="shared" si="547"/>
        <v>-282851.09860465111</v>
      </c>
      <c r="R244" s="677">
        <f t="shared" ref="R244:R265" si="560">B244</f>
        <v>1672737</v>
      </c>
      <c r="S244" s="127">
        <f t="shared" si="554"/>
        <v>227963</v>
      </c>
      <c r="T244" s="127">
        <f t="shared" si="500"/>
        <v>1418522.2143234741</v>
      </c>
      <c r="U244" s="127">
        <f t="shared" si="501"/>
        <v>776443.85114146117</v>
      </c>
      <c r="V244" s="88"/>
      <c r="W244" s="127">
        <f t="shared" si="555"/>
        <v>21474177</v>
      </c>
      <c r="X244" s="623">
        <f t="shared" si="556"/>
        <v>0.2829190834462863</v>
      </c>
      <c r="Y244" s="127">
        <f t="shared" si="557"/>
        <v>3721474.8741000001</v>
      </c>
      <c r="AB244" s="626"/>
      <c r="AC244" s="565"/>
      <c r="AD244" s="121"/>
      <c r="DI244" s="6"/>
      <c r="DU244" s="55"/>
      <c r="GF244" s="6"/>
      <c r="GH244" s="180"/>
      <c r="GT244" s="6"/>
      <c r="GY244" s="53"/>
      <c r="GZ244" s="182"/>
    </row>
    <row r="245" spans="1:213">
      <c r="A245" s="231">
        <v>38073</v>
      </c>
      <c r="B245" s="95">
        <f t="shared" si="558"/>
        <v>1683301</v>
      </c>
      <c r="C245" s="48">
        <f t="shared" si="559"/>
        <v>154277</v>
      </c>
      <c r="D245" s="127">
        <f t="shared" si="548"/>
        <v>397361</v>
      </c>
      <c r="E245" s="127">
        <f t="shared" si="549"/>
        <v>194942.16666666666</v>
      </c>
      <c r="F245" s="48">
        <f t="shared" si="480"/>
        <v>49445.666666666664</v>
      </c>
      <c r="G245" s="48">
        <f t="shared" si="481"/>
        <v>223999.05199781741</v>
      </c>
      <c r="H245" s="127">
        <f t="shared" si="550"/>
        <v>2339306</v>
      </c>
      <c r="I245" s="127">
        <f t="shared" si="551"/>
        <v>-402762</v>
      </c>
      <c r="J245" s="127">
        <f t="shared" si="552"/>
        <v>2742068</v>
      </c>
      <c r="K245" s="127"/>
      <c r="L245" s="127">
        <f t="shared" si="553"/>
        <v>6154</v>
      </c>
      <c r="M245" s="48">
        <f t="shared" si="483"/>
        <v>214293.6</v>
      </c>
      <c r="N245" s="61">
        <f t="shared" si="484"/>
        <v>497443.77066230151</v>
      </c>
      <c r="O245" s="48">
        <f t="shared" si="485"/>
        <v>-398552.43732896814</v>
      </c>
      <c r="P245" s="25">
        <f t="shared" si="547"/>
        <v>492158.32341085264</v>
      </c>
      <c r="Q245" s="25">
        <f t="shared" si="547"/>
        <v>-282851.09860465111</v>
      </c>
      <c r="R245" s="677">
        <f t="shared" si="560"/>
        <v>1683301</v>
      </c>
      <c r="S245" s="127">
        <f t="shared" si="554"/>
        <v>10564</v>
      </c>
      <c r="T245" s="127">
        <f t="shared" si="500"/>
        <v>1418522.2143234741</v>
      </c>
      <c r="U245" s="127">
        <f t="shared" si="501"/>
        <v>776443.85114146117</v>
      </c>
      <c r="V245" s="88"/>
      <c r="W245" s="127">
        <f t="shared" si="555"/>
        <v>21718652</v>
      </c>
      <c r="X245" s="623">
        <f t="shared" si="556"/>
        <v>0.30159926856608077</v>
      </c>
      <c r="Y245" s="127">
        <f t="shared" si="557"/>
        <v>3763842.3916000002</v>
      </c>
      <c r="DI245" s="6"/>
      <c r="DU245" s="55"/>
      <c r="GF245" s="6"/>
      <c r="GH245" s="180"/>
      <c r="GT245" s="6"/>
      <c r="GY245" s="53"/>
      <c r="GZ245" s="182"/>
    </row>
    <row r="246" spans="1:213">
      <c r="A246" s="231">
        <v>38104</v>
      </c>
      <c r="B246" s="95">
        <f t="shared" si="558"/>
        <v>2153669</v>
      </c>
      <c r="C246" s="48">
        <f t="shared" si="559"/>
        <v>576385</v>
      </c>
      <c r="D246" s="127">
        <f t="shared" si="548"/>
        <v>891093</v>
      </c>
      <c r="E246" s="127">
        <f t="shared" si="549"/>
        <v>228439.41666666666</v>
      </c>
      <c r="F246" s="48">
        <f t="shared" si="480"/>
        <v>55453</v>
      </c>
      <c r="G246" s="48">
        <f t="shared" si="481"/>
        <v>233184.90125576532</v>
      </c>
      <c r="H246" s="127">
        <f t="shared" si="550"/>
        <v>2741273</v>
      </c>
      <c r="I246" s="127">
        <f t="shared" si="551"/>
        <v>-238229</v>
      </c>
      <c r="J246" s="127">
        <f t="shared" si="552"/>
        <v>2979502</v>
      </c>
      <c r="K246" s="127"/>
      <c r="L246" s="127">
        <f t="shared" si="553"/>
        <v>422108</v>
      </c>
      <c r="M246" s="48">
        <f t="shared" si="483"/>
        <v>217595.3</v>
      </c>
      <c r="N246" s="61">
        <f t="shared" si="484"/>
        <v>521822.80251153064</v>
      </c>
      <c r="O246" s="48">
        <f t="shared" si="485"/>
        <v>-410916.80251153064</v>
      </c>
      <c r="P246" s="25">
        <f t="shared" si="547"/>
        <v>492158.32341085264</v>
      </c>
      <c r="Q246" s="25">
        <f t="shared" si="547"/>
        <v>-282851.09860465111</v>
      </c>
      <c r="R246" s="677">
        <f t="shared" si="560"/>
        <v>2153669</v>
      </c>
      <c r="S246" s="127">
        <f t="shared" si="554"/>
        <v>470368</v>
      </c>
      <c r="T246" s="127">
        <f t="shared" si="500"/>
        <v>1418522.2143234741</v>
      </c>
      <c r="U246" s="127">
        <f t="shared" si="501"/>
        <v>776443.85114146117</v>
      </c>
      <c r="V246" s="88"/>
      <c r="W246" s="127">
        <f t="shared" si="555"/>
        <v>22194976</v>
      </c>
      <c r="X246" s="623">
        <f t="shared" si="556"/>
        <v>0.30172025494155713</v>
      </c>
      <c r="Y246" s="127">
        <f t="shared" si="557"/>
        <v>3846389.3408000004</v>
      </c>
      <c r="DI246" s="6"/>
      <c r="DU246" s="55"/>
      <c r="GF246" s="6"/>
      <c r="GH246" s="180"/>
      <c r="GT246" s="6"/>
      <c r="GY246" s="53"/>
      <c r="GZ246" s="182"/>
    </row>
    <row r="247" spans="1:213">
      <c r="A247" s="231">
        <v>38134</v>
      </c>
      <c r="B247" s="95">
        <f t="shared" si="558"/>
        <v>2494703</v>
      </c>
      <c r="C247" s="48">
        <f t="shared" si="559"/>
        <v>633258</v>
      </c>
      <c r="D247" s="127">
        <f t="shared" ref="D247:D254" si="561">C247+C246+C245</f>
        <v>1363920</v>
      </c>
      <c r="E247" s="127">
        <f t="shared" ref="E247:E254" si="562">AVERAGE(C236:C247)</f>
        <v>271280.16666666669</v>
      </c>
      <c r="F247" s="48">
        <f t="shared" si="480"/>
        <v>63084.416666666664</v>
      </c>
      <c r="G247" s="48">
        <f t="shared" si="481"/>
        <v>244398.95810516714</v>
      </c>
      <c r="H247" s="127">
        <f t="shared" ref="H247:H254" si="563">SUM(C236:C247)</f>
        <v>3255362</v>
      </c>
      <c r="I247" s="127">
        <f t="shared" ref="I247:I254" si="564">H235</f>
        <v>-336775</v>
      </c>
      <c r="J247" s="127">
        <f t="shared" ref="J247:J254" si="565">H247-I247</f>
        <v>3592137</v>
      </c>
      <c r="K247" s="127"/>
      <c r="L247" s="127">
        <f t="shared" ref="L247:L258" si="566">((C246-C247)^2)^0.5</f>
        <v>56873</v>
      </c>
      <c r="M247" s="48">
        <f t="shared" si="483"/>
        <v>217866.98333333334</v>
      </c>
      <c r="N247" s="61">
        <f t="shared" si="484"/>
        <v>551882.33287700091</v>
      </c>
      <c r="O247" s="48">
        <f t="shared" si="485"/>
        <v>-425713.4995436676</v>
      </c>
      <c r="P247" s="25">
        <f t="shared" si="547"/>
        <v>492158.32341085264</v>
      </c>
      <c r="Q247" s="25">
        <f t="shared" si="547"/>
        <v>-282851.09860465111</v>
      </c>
      <c r="R247" s="677">
        <f t="shared" si="560"/>
        <v>2494703</v>
      </c>
      <c r="S247" s="127">
        <f t="shared" ref="S247:S254" si="567">IF(R247&gt;0,ABS(R246-R247)," ")</f>
        <v>341034</v>
      </c>
      <c r="T247" s="127">
        <f t="shared" si="500"/>
        <v>1418522.2143234741</v>
      </c>
      <c r="U247" s="127">
        <f t="shared" si="501"/>
        <v>776443.85114146117</v>
      </c>
      <c r="V247" s="88"/>
      <c r="W247" s="127">
        <f t="shared" ref="W247:W254" si="568">SUM(R236:R247)</f>
        <v>22927627</v>
      </c>
      <c r="X247" s="623">
        <f t="shared" ref="X247:X254" si="569">(W247-W235)/W235</f>
        <v>0.33991522069805297</v>
      </c>
      <c r="Y247" s="127">
        <f t="shared" ref="Y247:Y258" si="570">W247*0.1733</f>
        <v>3973357.7591000004</v>
      </c>
      <c r="DI247" s="6"/>
      <c r="DU247" s="55"/>
      <c r="GF247" s="6"/>
      <c r="GH247" s="180"/>
      <c r="GT247" s="6"/>
      <c r="GY247" s="53"/>
      <c r="GZ247" s="182"/>
    </row>
    <row r="248" spans="1:213">
      <c r="A248" s="231">
        <v>38165</v>
      </c>
      <c r="B248" s="95">
        <f t="shared" si="558"/>
        <v>2923100</v>
      </c>
      <c r="C248" s="48">
        <f t="shared" si="559"/>
        <v>726588</v>
      </c>
      <c r="D248" s="127">
        <f t="shared" si="561"/>
        <v>1936231</v>
      </c>
      <c r="E248" s="127">
        <f t="shared" si="562"/>
        <v>269437.08333333331</v>
      </c>
      <c r="F248" s="48">
        <f t="shared" si="480"/>
        <v>67611.350000000006</v>
      </c>
      <c r="G248" s="48">
        <f t="shared" si="481"/>
        <v>254103.66669529598</v>
      </c>
      <c r="H248" s="127">
        <f t="shared" si="563"/>
        <v>3233245</v>
      </c>
      <c r="I248" s="127">
        <f t="shared" si="564"/>
        <v>438174</v>
      </c>
      <c r="J248" s="127">
        <f t="shared" si="565"/>
        <v>2795071</v>
      </c>
      <c r="K248" s="127"/>
      <c r="L248" s="127">
        <f t="shared" si="566"/>
        <v>93330</v>
      </c>
      <c r="M248" s="48">
        <f t="shared" si="483"/>
        <v>214762.5</v>
      </c>
      <c r="N248" s="61">
        <f t="shared" si="484"/>
        <v>575818.68339059199</v>
      </c>
      <c r="O248" s="48">
        <f t="shared" si="485"/>
        <v>-440595.98339059192</v>
      </c>
      <c r="P248" s="25">
        <f t="shared" si="547"/>
        <v>492158.32341085264</v>
      </c>
      <c r="Q248" s="25">
        <f t="shared" si="547"/>
        <v>-282851.09860465111</v>
      </c>
      <c r="R248" s="677">
        <f t="shared" si="560"/>
        <v>2923100</v>
      </c>
      <c r="S248" s="127">
        <f t="shared" si="567"/>
        <v>428397</v>
      </c>
      <c r="T248" s="127">
        <f t="shared" si="500"/>
        <v>1418522.2143234741</v>
      </c>
      <c r="U248" s="127">
        <f t="shared" si="501"/>
        <v>776443.85114146117</v>
      </c>
      <c r="V248" s="88"/>
      <c r="W248" s="127">
        <f t="shared" si="568"/>
        <v>23546397</v>
      </c>
      <c r="X248" s="623">
        <f t="shared" si="569"/>
        <v>0.31940188496574018</v>
      </c>
      <c r="Y248" s="127">
        <f t="shared" si="570"/>
        <v>4080590.6001000004</v>
      </c>
      <c r="DI248" s="6"/>
      <c r="DU248" s="55"/>
      <c r="GF248" s="6"/>
      <c r="GH248" s="121"/>
      <c r="GJ248" s="668"/>
      <c r="GK248" s="626"/>
      <c r="GT248" s="6"/>
      <c r="GY248" s="53"/>
      <c r="GZ248" s="182"/>
    </row>
    <row r="249" spans="1:213">
      <c r="A249" s="231">
        <v>38195</v>
      </c>
      <c r="B249" s="95">
        <f t="shared" si="558"/>
        <v>2615911</v>
      </c>
      <c r="C249" s="48">
        <f t="shared" si="559"/>
        <v>576314</v>
      </c>
      <c r="D249" s="127">
        <f t="shared" si="561"/>
        <v>1936160</v>
      </c>
      <c r="E249" s="127">
        <f t="shared" si="562"/>
        <v>298241.83333333331</v>
      </c>
      <c r="F249" s="48">
        <f t="shared" si="480"/>
        <v>77208.683333333334</v>
      </c>
      <c r="G249" s="48">
        <f t="shared" si="481"/>
        <v>262268.33736206271</v>
      </c>
      <c r="H249" s="127">
        <f t="shared" si="563"/>
        <v>3578902</v>
      </c>
      <c r="I249" s="127">
        <f t="shared" si="564"/>
        <v>779119</v>
      </c>
      <c r="J249" s="127">
        <f t="shared" si="565"/>
        <v>2799783</v>
      </c>
      <c r="K249" s="127"/>
      <c r="L249" s="127">
        <f t="shared" si="566"/>
        <v>150274</v>
      </c>
      <c r="M249" s="48">
        <f t="shared" si="483"/>
        <v>209692.1</v>
      </c>
      <c r="N249" s="61">
        <f t="shared" si="484"/>
        <v>601745.35805745877</v>
      </c>
      <c r="O249" s="48">
        <f t="shared" si="485"/>
        <v>-447327.99139079207</v>
      </c>
      <c r="P249" s="25">
        <f t="shared" si="547"/>
        <v>492158.32341085264</v>
      </c>
      <c r="Q249" s="25">
        <f t="shared" si="547"/>
        <v>-282851.09860465111</v>
      </c>
      <c r="R249" s="677">
        <f t="shared" si="560"/>
        <v>2615911</v>
      </c>
      <c r="S249" s="127">
        <f t="shared" si="567"/>
        <v>307189</v>
      </c>
      <c r="T249" s="127">
        <f t="shared" si="500"/>
        <v>1418522.2143234741</v>
      </c>
      <c r="U249" s="127">
        <f t="shared" si="501"/>
        <v>776443.85114146117</v>
      </c>
      <c r="V249" s="88"/>
      <c r="W249" s="127">
        <f t="shared" si="568"/>
        <v>24334049</v>
      </c>
      <c r="X249" s="623">
        <f t="shared" si="569"/>
        <v>0.3256939831134798</v>
      </c>
      <c r="Y249" s="127">
        <f t="shared" si="570"/>
        <v>4217090.6917000003</v>
      </c>
      <c r="DI249" s="6"/>
      <c r="DU249" s="55"/>
      <c r="GF249" s="6"/>
      <c r="GH249" s="180"/>
      <c r="GT249" s="6"/>
      <c r="GY249" s="53"/>
      <c r="GZ249" s="182"/>
    </row>
    <row r="250" spans="1:213">
      <c r="A250" s="231">
        <v>38226</v>
      </c>
      <c r="B250" s="95">
        <f t="shared" si="558"/>
        <v>2459366</v>
      </c>
      <c r="C250" s="48">
        <f>AV10</f>
        <v>433317</v>
      </c>
      <c r="D250" s="127">
        <f t="shared" si="561"/>
        <v>1736219</v>
      </c>
      <c r="E250" s="127">
        <f t="shared" si="562"/>
        <v>324777.33333333331</v>
      </c>
      <c r="F250" s="48">
        <f t="shared" si="480"/>
        <v>80564.316666666666</v>
      </c>
      <c r="G250" s="48">
        <f t="shared" si="481"/>
        <v>265549.63250059885</v>
      </c>
      <c r="H250" s="127">
        <f t="shared" si="563"/>
        <v>3897328</v>
      </c>
      <c r="I250" s="127">
        <f t="shared" si="564"/>
        <v>996368</v>
      </c>
      <c r="J250" s="127">
        <f t="shared" si="565"/>
        <v>2900960</v>
      </c>
      <c r="K250" s="127"/>
      <c r="L250" s="127">
        <f t="shared" si="566"/>
        <v>142997</v>
      </c>
      <c r="M250" s="48">
        <f t="shared" si="483"/>
        <v>208216.96666666667</v>
      </c>
      <c r="N250" s="61">
        <f t="shared" si="484"/>
        <v>611663.58166786435</v>
      </c>
      <c r="O250" s="48">
        <f t="shared" si="485"/>
        <v>-450534.94833453104</v>
      </c>
      <c r="P250" s="25">
        <f t="shared" si="547"/>
        <v>492158.32341085264</v>
      </c>
      <c r="Q250" s="25">
        <f t="shared" si="547"/>
        <v>-282851.09860465111</v>
      </c>
      <c r="R250" s="677">
        <f t="shared" si="560"/>
        <v>2459366</v>
      </c>
      <c r="S250" s="127">
        <f t="shared" si="567"/>
        <v>156545</v>
      </c>
      <c r="T250" s="127">
        <f t="shared" si="500"/>
        <v>1418522.2143234741</v>
      </c>
      <c r="U250" s="127">
        <f t="shared" si="501"/>
        <v>776443.85114146117</v>
      </c>
      <c r="V250" s="88"/>
      <c r="W250" s="127">
        <f t="shared" si="568"/>
        <v>24987397</v>
      </c>
      <c r="X250" s="623">
        <f t="shared" si="569"/>
        <v>0.33711208071497301</v>
      </c>
      <c r="Y250" s="127">
        <f t="shared" si="570"/>
        <v>4330315.9001000002</v>
      </c>
      <c r="DI250" s="6"/>
      <c r="DU250" s="55"/>
      <c r="GF250" s="6"/>
      <c r="GH250" s="180"/>
      <c r="GT250" s="6"/>
      <c r="GY250" s="53"/>
      <c r="GZ250" s="182"/>
    </row>
    <row r="251" spans="1:213">
      <c r="A251" s="231">
        <v>38257</v>
      </c>
      <c r="B251" s="95">
        <f t="shared" si="558"/>
        <v>2446219</v>
      </c>
      <c r="C251" s="48">
        <f>AV11</f>
        <v>503443</v>
      </c>
      <c r="D251" s="127">
        <f t="shared" si="561"/>
        <v>1513074</v>
      </c>
      <c r="E251" s="127">
        <f t="shared" si="562"/>
        <v>352519.75</v>
      </c>
      <c r="F251" s="48">
        <f t="shared" si="480"/>
        <v>85124.53333333334</v>
      </c>
      <c r="G251" s="48">
        <f t="shared" si="481"/>
        <v>270460.31802625553</v>
      </c>
      <c r="H251" s="127">
        <f t="shared" si="563"/>
        <v>4230237</v>
      </c>
      <c r="I251" s="127">
        <f t="shared" si="564"/>
        <v>1207850</v>
      </c>
      <c r="J251" s="127">
        <f t="shared" si="565"/>
        <v>3022387</v>
      </c>
      <c r="K251" s="127"/>
      <c r="L251" s="127">
        <f t="shared" si="566"/>
        <v>70126</v>
      </c>
      <c r="M251" s="48">
        <f t="shared" si="483"/>
        <v>209349.91666666666</v>
      </c>
      <c r="N251" s="61">
        <f t="shared" si="484"/>
        <v>626045.16938584438</v>
      </c>
      <c r="O251" s="48">
        <f t="shared" si="485"/>
        <v>-455796.10271917772</v>
      </c>
      <c r="P251" s="25">
        <f t="shared" ref="P251:Q254" si="571">P457</f>
        <v>492158.32341085264</v>
      </c>
      <c r="Q251" s="25">
        <f t="shared" si="571"/>
        <v>-282851.09860465111</v>
      </c>
      <c r="R251" s="677">
        <f t="shared" si="560"/>
        <v>2446219</v>
      </c>
      <c r="S251" s="127">
        <f t="shared" si="567"/>
        <v>13147</v>
      </c>
      <c r="T251" s="127">
        <f t="shared" si="500"/>
        <v>1418522.2143234741</v>
      </c>
      <c r="U251" s="127">
        <f t="shared" si="501"/>
        <v>776443.85114146117</v>
      </c>
      <c r="V251" s="88"/>
      <c r="W251" s="127">
        <f t="shared" si="568"/>
        <v>25667809</v>
      </c>
      <c r="X251" s="623">
        <f t="shared" si="569"/>
        <v>0.3405516389107357</v>
      </c>
      <c r="Y251" s="127">
        <f t="shared" si="570"/>
        <v>4448231.2997000003</v>
      </c>
      <c r="DI251" s="6"/>
      <c r="DU251" s="55"/>
      <c r="GF251" s="6"/>
      <c r="GH251" s="180"/>
      <c r="GT251" s="6"/>
      <c r="GY251" s="53"/>
      <c r="GZ251" s="182"/>
    </row>
    <row r="252" spans="1:213">
      <c r="A252" s="231">
        <v>38287</v>
      </c>
      <c r="B252" s="95">
        <f t="shared" si="558"/>
        <v>2676993</v>
      </c>
      <c r="C252" s="48">
        <f>AV12</f>
        <v>637324</v>
      </c>
      <c r="D252" s="127">
        <f t="shared" si="561"/>
        <v>1574084</v>
      </c>
      <c r="E252" s="127">
        <f t="shared" si="562"/>
        <v>376408.75</v>
      </c>
      <c r="F252" s="48">
        <f t="shared" si="480"/>
        <v>96388.883333333331</v>
      </c>
      <c r="G252" s="48">
        <f t="shared" si="481"/>
        <v>279157.24186000344</v>
      </c>
      <c r="H252" s="127">
        <f t="shared" si="563"/>
        <v>4516905</v>
      </c>
      <c r="I252" s="127">
        <f t="shared" si="564"/>
        <v>1456156</v>
      </c>
      <c r="J252" s="127">
        <f t="shared" si="565"/>
        <v>3060749</v>
      </c>
      <c r="K252" s="127"/>
      <c r="L252" s="127">
        <f t="shared" si="566"/>
        <v>133881</v>
      </c>
      <c r="M252" s="48">
        <f t="shared" si="483"/>
        <v>207108.48333333334</v>
      </c>
      <c r="N252" s="61">
        <f t="shared" si="484"/>
        <v>654703.36705334019</v>
      </c>
      <c r="O252" s="48">
        <f t="shared" si="485"/>
        <v>-461925.60038667358</v>
      </c>
      <c r="P252" s="25">
        <f t="shared" si="571"/>
        <v>492158.32341085264</v>
      </c>
      <c r="Q252" s="25">
        <f t="shared" si="571"/>
        <v>-282851.09860465111</v>
      </c>
      <c r="R252" s="677">
        <f t="shared" si="560"/>
        <v>2676993</v>
      </c>
      <c r="S252" s="127">
        <f t="shared" si="567"/>
        <v>230774</v>
      </c>
      <c r="T252" s="127">
        <f t="shared" si="500"/>
        <v>1418522.2143234741</v>
      </c>
      <c r="U252" s="127">
        <f t="shared" si="501"/>
        <v>776443.85114146117</v>
      </c>
      <c r="V252" s="88"/>
      <c r="W252" s="127">
        <f t="shared" si="568"/>
        <v>26454768</v>
      </c>
      <c r="X252" s="623">
        <f t="shared" si="569"/>
        <v>0.35509654718576683</v>
      </c>
      <c r="Y252" s="127">
        <f t="shared" si="570"/>
        <v>4584611.2944</v>
      </c>
      <c r="DI252" s="6"/>
      <c r="DU252" s="55"/>
      <c r="GF252" s="6"/>
      <c r="GH252" s="180"/>
      <c r="GT252" s="6"/>
      <c r="GY252" s="53"/>
      <c r="GZ252" s="182"/>
    </row>
    <row r="253" spans="1:213">
      <c r="A253" s="231">
        <v>38318</v>
      </c>
      <c r="B253" s="95">
        <f t="shared" si="558"/>
        <v>1992999</v>
      </c>
      <c r="C253" s="48">
        <f>AV13</f>
        <v>4576</v>
      </c>
      <c r="D253" s="127">
        <f t="shared" si="561"/>
        <v>1145343</v>
      </c>
      <c r="E253" s="127">
        <f t="shared" si="562"/>
        <v>369264.5</v>
      </c>
      <c r="F253" s="48">
        <f t="shared" si="480"/>
        <v>94484.166666666672</v>
      </c>
      <c r="G253" s="48">
        <f t="shared" si="481"/>
        <v>279391.11150094675</v>
      </c>
      <c r="H253" s="127">
        <f t="shared" si="563"/>
        <v>4431174</v>
      </c>
      <c r="I253" s="127">
        <f t="shared" si="564"/>
        <v>1317685</v>
      </c>
      <c r="J253" s="127">
        <f t="shared" si="565"/>
        <v>3113489</v>
      </c>
      <c r="K253" s="127"/>
      <c r="L253" s="127">
        <f t="shared" si="566"/>
        <v>632748</v>
      </c>
      <c r="M253" s="48">
        <f t="shared" si="483"/>
        <v>215031.01666666666</v>
      </c>
      <c r="N253" s="61">
        <f t="shared" si="484"/>
        <v>653266.38966856012</v>
      </c>
      <c r="O253" s="48">
        <f t="shared" si="485"/>
        <v>-464298.05633522681</v>
      </c>
      <c r="P253" s="25">
        <f t="shared" si="571"/>
        <v>492158.32341085264</v>
      </c>
      <c r="Q253" s="25">
        <f t="shared" si="571"/>
        <v>-282851.09860465111</v>
      </c>
      <c r="R253" s="677">
        <f t="shared" si="560"/>
        <v>1992999</v>
      </c>
      <c r="S253" s="127">
        <f t="shared" si="567"/>
        <v>683994</v>
      </c>
      <c r="T253" s="127">
        <f t="shared" si="500"/>
        <v>1418522.2143234741</v>
      </c>
      <c r="U253" s="127">
        <f t="shared" si="501"/>
        <v>776443.85114146117</v>
      </c>
      <c r="V253" s="88"/>
      <c r="W253" s="127">
        <f t="shared" si="568"/>
        <v>26789655</v>
      </c>
      <c r="X253" s="623">
        <f t="shared" si="569"/>
        <v>0.36978268544777615</v>
      </c>
      <c r="Y253" s="127">
        <f t="shared" si="570"/>
        <v>4642647.2115000002</v>
      </c>
      <c r="DI253" s="6"/>
      <c r="DU253" s="55"/>
      <c r="GF253" s="6"/>
      <c r="GH253" s="180"/>
      <c r="GT253" s="6"/>
      <c r="GY253" s="53"/>
      <c r="GZ253" s="182"/>
    </row>
    <row r="254" spans="1:213">
      <c r="A254" s="668">
        <v>38348</v>
      </c>
      <c r="B254" s="626">
        <f t="shared" si="558"/>
        <v>2394920</v>
      </c>
      <c r="C254" s="565">
        <f>AV14</f>
        <v>-120778</v>
      </c>
      <c r="D254" s="121">
        <f t="shared" si="561"/>
        <v>521122</v>
      </c>
      <c r="E254" s="121">
        <f t="shared" si="562"/>
        <v>363982.33333333331</v>
      </c>
      <c r="F254" s="48">
        <f t="shared" si="480"/>
        <v>97137.866666666669</v>
      </c>
      <c r="G254" s="48">
        <f t="shared" si="481"/>
        <v>276515.2731200573</v>
      </c>
      <c r="H254" s="121">
        <f t="shared" si="563"/>
        <v>4367788</v>
      </c>
      <c r="I254" s="121">
        <f t="shared" si="564"/>
        <v>1471472</v>
      </c>
      <c r="J254" s="121">
        <f t="shared" si="565"/>
        <v>2896316</v>
      </c>
      <c r="K254" s="121"/>
      <c r="L254" s="121">
        <f t="shared" si="566"/>
        <v>125354</v>
      </c>
      <c r="M254" s="48">
        <f t="shared" si="483"/>
        <v>210472.6</v>
      </c>
      <c r="N254" s="61">
        <f t="shared" si="484"/>
        <v>650168.4129067813</v>
      </c>
      <c r="O254" s="48">
        <f t="shared" si="485"/>
        <v>-455892.67957344791</v>
      </c>
      <c r="P254" s="25">
        <f t="shared" si="571"/>
        <v>492158.32341085264</v>
      </c>
      <c r="Q254" s="25">
        <f t="shared" si="571"/>
        <v>-282851.09860465111</v>
      </c>
      <c r="R254" s="677">
        <f t="shared" si="560"/>
        <v>2394920</v>
      </c>
      <c r="S254" s="121">
        <f t="shared" si="567"/>
        <v>401921</v>
      </c>
      <c r="T254" s="121">
        <f t="shared" si="500"/>
        <v>1418522.2143234741</v>
      </c>
      <c r="U254" s="121">
        <f t="shared" si="501"/>
        <v>776443.85114146117</v>
      </c>
      <c r="V254" s="52"/>
      <c r="W254" s="121">
        <f t="shared" si="568"/>
        <v>26958692</v>
      </c>
      <c r="X254" s="567">
        <f t="shared" si="569"/>
        <v>0.32137949693975032</v>
      </c>
      <c r="Y254" s="121">
        <f t="shared" si="570"/>
        <v>4671941.3236000007</v>
      </c>
      <c r="DI254" s="6"/>
      <c r="DU254" s="55"/>
      <c r="GF254" s="6"/>
      <c r="GH254" s="180"/>
      <c r="GT254" s="6"/>
      <c r="GY254" s="53"/>
      <c r="GZ254" s="182"/>
    </row>
    <row r="255" spans="1:213">
      <c r="A255" s="231">
        <v>38379</v>
      </c>
      <c r="B255" s="95">
        <f t="shared" ref="B255:B266" si="572">IF(CD3&gt;0,CD3,"")</f>
        <v>1360922</v>
      </c>
      <c r="C255" s="48">
        <f>IF(B255&lt;&gt;"",AW3,"")</f>
        <v>-156557</v>
      </c>
      <c r="D255" s="127">
        <f>IF(B255&lt;&gt;"",C255+C254+C253,"")</f>
        <v>-272759</v>
      </c>
      <c r="E255" s="127">
        <f>IF(B255&lt;&gt;"",AVERAGE(C244:C255),"")</f>
        <v>344048.16666666669</v>
      </c>
      <c r="F255" s="48">
        <f t="shared" si="480"/>
        <v>95411.416666666672</v>
      </c>
      <c r="G255" s="48">
        <f t="shared" si="481"/>
        <v>277788.81613503594</v>
      </c>
      <c r="H255" s="127">
        <f>IF($B255&lt;&gt;"",SUM(C244:C255),"")</f>
        <v>4128578</v>
      </c>
      <c r="I255" s="127">
        <f t="shared" ref="I255:I264" si="573">IF(B255&lt;&gt;"",H243,"")</f>
        <v>1782095</v>
      </c>
      <c r="J255" s="127">
        <f>IF(B255&lt;&gt;"",H255-I255,"")</f>
        <v>2346483</v>
      </c>
      <c r="K255" s="127"/>
      <c r="L255" s="127">
        <f t="shared" si="566"/>
        <v>35779</v>
      </c>
      <c r="M255" s="48">
        <f t="shared" si="483"/>
        <v>207285.08333333334</v>
      </c>
      <c r="N255" s="61">
        <f t="shared" si="484"/>
        <v>650989.04893673852</v>
      </c>
      <c r="O255" s="48">
        <f t="shared" si="485"/>
        <v>-460166.2156034052</v>
      </c>
      <c r="P255" s="25">
        <f t="shared" ref="P255:Q280" si="574">P449</f>
        <v>492158.32341085264</v>
      </c>
      <c r="Q255" s="25">
        <f t="shared" si="574"/>
        <v>-282851.09860465111</v>
      </c>
      <c r="R255" s="677">
        <f t="shared" si="560"/>
        <v>1360922</v>
      </c>
      <c r="S255" s="127">
        <f>IF(R255&lt;&gt;"",ABS(R254-R255)," ")</f>
        <v>1033998</v>
      </c>
      <c r="T255" s="127">
        <f t="shared" si="500"/>
        <v>1418522.2143234741</v>
      </c>
      <c r="U255" s="127">
        <f t="shared" si="501"/>
        <v>776443.85114146117</v>
      </c>
      <c r="V255" s="88"/>
      <c r="W255" s="127">
        <f>IF($B255&lt;&gt;"",SUM(B244:B255),"")</f>
        <v>26874840</v>
      </c>
      <c r="X255" s="623">
        <f>IF(B255&lt;&gt;"",(W255-W243)/W243,"")</f>
        <v>0.28996274373421166</v>
      </c>
      <c r="Y255" s="127">
        <f t="shared" si="570"/>
        <v>4657409.7719999999</v>
      </c>
      <c r="DI255" s="6"/>
      <c r="DU255" s="55"/>
      <c r="GF255" s="6"/>
      <c r="GH255" s="180"/>
      <c r="GT255" s="6"/>
      <c r="GY255" s="53"/>
      <c r="GZ255" s="182"/>
    </row>
    <row r="256" spans="1:213">
      <c r="A256" s="231">
        <v>38410</v>
      </c>
      <c r="B256" s="95">
        <f t="shared" si="572"/>
        <v>1732312</v>
      </c>
      <c r="C256" s="48">
        <f t="shared" ref="C256:C264" si="575">IF(B256&lt;&gt;"",AW4,"")</f>
        <v>96262</v>
      </c>
      <c r="D256" s="127">
        <f t="shared" ref="D256:D264" si="576">IF(B256&lt;&gt;"",C256+C255+C254,"")</f>
        <v>-181073</v>
      </c>
      <c r="E256" s="127">
        <f t="shared" ref="E256:E264" si="577">IF(B256&lt;&gt;"",AVERAGE(C245:C256),"")</f>
        <v>338700.75</v>
      </c>
      <c r="F256" s="48">
        <f t="shared" ref="F256:F280" si="578">IF(B256&lt;&gt;"",AVERAGE(C197:C256),"")</f>
        <v>100687.26666666666</v>
      </c>
      <c r="G256" s="48">
        <f t="shared" ref="G256:G280" si="579">IF(B256&lt;&gt;"",STDEV(C197:C256),"")</f>
        <v>274679.93240292754</v>
      </c>
      <c r="H256" s="127">
        <f t="shared" ref="H256:H264" si="580">IF(B256&lt;&gt;"",SUM(C245:C256),"")</f>
        <v>4064409</v>
      </c>
      <c r="I256" s="127">
        <f t="shared" si="573"/>
        <v>2211316</v>
      </c>
      <c r="J256" s="127">
        <f t="shared" ref="J256:J264" si="581">IF(B256&lt;&gt;"",H256-I256,"")</f>
        <v>1853093</v>
      </c>
      <c r="K256" s="25">
        <f>AVERAGE(C254+C255+C256)</f>
        <v>-181073</v>
      </c>
      <c r="L256" s="127">
        <f t="shared" si="566"/>
        <v>252819</v>
      </c>
      <c r="M256" s="48">
        <f t="shared" ref="M256:M278" si="582">IF(C256&lt;&gt;"",AVERAGE(L197:L256),"")</f>
        <v>208710.08333333334</v>
      </c>
      <c r="N256" s="61">
        <f t="shared" ref="N256:N278" si="583">IF(B256&lt;&gt;"",F256+$N$1*G256,"")</f>
        <v>650047.13147252169</v>
      </c>
      <c r="O256" s="48">
        <f t="shared" ref="O256:O278" si="584">IF(B256&lt;&gt;"",F256-$N$1*G256,"")</f>
        <v>-448672.59813918843</v>
      </c>
      <c r="P256" s="25">
        <f t="shared" si="574"/>
        <v>492158.32341085264</v>
      </c>
      <c r="Q256" s="25">
        <f t="shared" si="574"/>
        <v>-282851.09860465111</v>
      </c>
      <c r="R256" s="677">
        <f t="shared" si="560"/>
        <v>1732312</v>
      </c>
      <c r="S256" s="127">
        <f t="shared" ref="S256:S265" si="585">IF(R256&lt;&gt;"",ABS(R255-R256)," ")</f>
        <v>371390</v>
      </c>
      <c r="T256" s="127">
        <f t="shared" si="500"/>
        <v>1418522.2143234741</v>
      </c>
      <c r="U256" s="127">
        <f t="shared" si="501"/>
        <v>776443.85114146117</v>
      </c>
      <c r="V256" s="88"/>
      <c r="W256" s="127">
        <f t="shared" ref="W256:W278" si="586">IF($B256&lt;&gt;"",SUM(B245:B256),"")</f>
        <v>26934415</v>
      </c>
      <c r="X256" s="623">
        <f t="shared" ref="X256:X265" si="587">IF(B256&lt;&gt;"",(W256-W244)/W244,"")</f>
        <v>0.2542699540941662</v>
      </c>
      <c r="Y256" s="127">
        <f t="shared" si="570"/>
        <v>4667734.1195</v>
      </c>
      <c r="DI256" s="6"/>
      <c r="DU256" s="55"/>
      <c r="GF256" s="6"/>
      <c r="GH256" s="180"/>
      <c r="GT256" s="6"/>
      <c r="GY256" s="53"/>
      <c r="GZ256" s="182"/>
    </row>
    <row r="257" spans="1:208">
      <c r="A257" s="231">
        <v>38438</v>
      </c>
      <c r="B257" s="95">
        <f t="shared" si="572"/>
        <v>1941347</v>
      </c>
      <c r="C257" s="48">
        <f t="shared" si="575"/>
        <v>365145</v>
      </c>
      <c r="D257" s="127">
        <f t="shared" si="576"/>
        <v>304850</v>
      </c>
      <c r="E257" s="127">
        <f t="shared" si="577"/>
        <v>356273.08333333331</v>
      </c>
      <c r="F257" s="48">
        <f t="shared" si="578"/>
        <v>101369.5</v>
      </c>
      <c r="G257" s="48">
        <f t="shared" si="579"/>
        <v>275294.66362627101</v>
      </c>
      <c r="H257" s="127">
        <f t="shared" si="580"/>
        <v>4275277</v>
      </c>
      <c r="I257" s="127">
        <f t="shared" si="573"/>
        <v>2339306</v>
      </c>
      <c r="J257" s="127">
        <f t="shared" si="581"/>
        <v>1935971</v>
      </c>
      <c r="K257" s="127"/>
      <c r="L257" s="127">
        <f t="shared" si="566"/>
        <v>268883</v>
      </c>
      <c r="M257" s="48">
        <f t="shared" si="582"/>
        <v>204116.46666666667</v>
      </c>
      <c r="N257" s="61">
        <f t="shared" si="583"/>
        <v>651958.82725254202</v>
      </c>
      <c r="O257" s="48">
        <f t="shared" si="584"/>
        <v>-449219.82725254202</v>
      </c>
      <c r="P257" s="25">
        <f t="shared" si="574"/>
        <v>492158.32341085264</v>
      </c>
      <c r="Q257" s="25">
        <f t="shared" si="574"/>
        <v>-282851.09860465111</v>
      </c>
      <c r="R257" s="677">
        <f t="shared" si="560"/>
        <v>1941347</v>
      </c>
      <c r="S257" s="127">
        <f t="shared" si="585"/>
        <v>209035</v>
      </c>
      <c r="T257" s="127">
        <f t="shared" si="500"/>
        <v>1418522.2143234741</v>
      </c>
      <c r="U257" s="127">
        <f t="shared" si="501"/>
        <v>776443.85114146117</v>
      </c>
      <c r="V257" s="88"/>
      <c r="W257" s="127">
        <f t="shared" si="586"/>
        <v>27192461</v>
      </c>
      <c r="X257" s="623">
        <f t="shared" si="587"/>
        <v>0.25203263075443172</v>
      </c>
      <c r="Y257" s="127">
        <f t="shared" si="570"/>
        <v>4712453.4912999999</v>
      </c>
      <c r="DI257" s="6"/>
      <c r="DU257" s="55"/>
      <c r="GF257" s="6"/>
      <c r="GH257" s="180"/>
      <c r="GT257" s="6"/>
      <c r="GY257" s="53"/>
      <c r="GZ257" s="182"/>
    </row>
    <row r="258" spans="1:208">
      <c r="A258" s="231">
        <v>38469</v>
      </c>
      <c r="B258" s="95">
        <f t="shared" si="572"/>
        <v>1695114</v>
      </c>
      <c r="C258" s="48">
        <f t="shared" si="575"/>
        <v>73987</v>
      </c>
      <c r="D258" s="127">
        <f t="shared" si="576"/>
        <v>535394</v>
      </c>
      <c r="E258" s="127">
        <f t="shared" si="577"/>
        <v>314406.58333333331</v>
      </c>
      <c r="F258" s="48">
        <f t="shared" si="578"/>
        <v>104659.85</v>
      </c>
      <c r="G258" s="48">
        <f t="shared" si="579"/>
        <v>273737.6438183983</v>
      </c>
      <c r="H258" s="127">
        <f t="shared" si="580"/>
        <v>3772879</v>
      </c>
      <c r="I258" s="127">
        <f t="shared" si="573"/>
        <v>2741273</v>
      </c>
      <c r="J258" s="127">
        <f t="shared" si="581"/>
        <v>1031606</v>
      </c>
      <c r="K258" s="127"/>
      <c r="L258" s="127">
        <f t="shared" si="566"/>
        <v>291158</v>
      </c>
      <c r="M258" s="48">
        <f t="shared" si="582"/>
        <v>201508.35</v>
      </c>
      <c r="N258" s="61">
        <f t="shared" si="583"/>
        <v>652135.13763679657</v>
      </c>
      <c r="O258" s="48">
        <f t="shared" si="584"/>
        <v>-442815.43763679662</v>
      </c>
      <c r="P258" s="25">
        <f t="shared" si="574"/>
        <v>492158.32341085264</v>
      </c>
      <c r="Q258" s="25">
        <f t="shared" si="574"/>
        <v>-282851.09860465111</v>
      </c>
      <c r="R258" s="677">
        <f t="shared" si="560"/>
        <v>1695114</v>
      </c>
      <c r="S258" s="127">
        <f t="shared" si="585"/>
        <v>246233</v>
      </c>
      <c r="T258" s="127">
        <f t="shared" si="500"/>
        <v>1418522.2143234741</v>
      </c>
      <c r="U258" s="127">
        <f t="shared" si="501"/>
        <v>776443.85114146117</v>
      </c>
      <c r="V258" s="88"/>
      <c r="W258" s="127">
        <f t="shared" si="586"/>
        <v>26733906</v>
      </c>
      <c r="X258" s="623">
        <f t="shared" si="587"/>
        <v>0.2045025865312943</v>
      </c>
      <c r="Y258" s="127">
        <f t="shared" si="570"/>
        <v>4632985.9098000005</v>
      </c>
      <c r="DI258" s="6"/>
      <c r="DU258" s="55"/>
      <c r="GF258" s="6"/>
      <c r="GH258" s="180"/>
      <c r="GT258" s="6"/>
      <c r="GY258" s="53"/>
      <c r="GZ258" s="182"/>
    </row>
    <row r="259" spans="1:208">
      <c r="A259" s="231">
        <v>38499</v>
      </c>
      <c r="B259" s="95">
        <f t="shared" si="572"/>
        <v>1645165</v>
      </c>
      <c r="C259" s="48">
        <f t="shared" si="575"/>
        <v>-219974</v>
      </c>
      <c r="D259" s="127">
        <f t="shared" si="576"/>
        <v>219158</v>
      </c>
      <c r="E259" s="127">
        <f t="shared" si="577"/>
        <v>243303.91666666666</v>
      </c>
      <c r="F259" s="48">
        <f t="shared" si="578"/>
        <v>103022.01666666666</v>
      </c>
      <c r="G259" s="48">
        <f t="shared" si="579"/>
        <v>275403.89923291688</v>
      </c>
      <c r="H259" s="127">
        <f t="shared" si="580"/>
        <v>2919647</v>
      </c>
      <c r="I259" s="127">
        <f t="shared" si="573"/>
        <v>3255362</v>
      </c>
      <c r="J259" s="127">
        <f t="shared" si="581"/>
        <v>-335715</v>
      </c>
      <c r="K259" s="127"/>
      <c r="L259" s="127">
        <f t="shared" ref="L259:L265" si="588">((C258-C259)^2)^0.5</f>
        <v>293961</v>
      </c>
      <c r="M259" s="48">
        <f t="shared" si="582"/>
        <v>206378.86666666667</v>
      </c>
      <c r="N259" s="61">
        <f t="shared" si="583"/>
        <v>653829.81513250037</v>
      </c>
      <c r="O259" s="48">
        <f t="shared" si="584"/>
        <v>-447785.7817991671</v>
      </c>
      <c r="P259" s="25">
        <f t="shared" si="574"/>
        <v>492158.32341085264</v>
      </c>
      <c r="Q259" s="25">
        <f t="shared" si="574"/>
        <v>-282851.09860465111</v>
      </c>
      <c r="R259" s="677">
        <f t="shared" si="560"/>
        <v>1645165</v>
      </c>
      <c r="S259" s="127">
        <f t="shared" si="585"/>
        <v>49949</v>
      </c>
      <c r="T259" s="127">
        <f t="shared" si="500"/>
        <v>1418522.2143234741</v>
      </c>
      <c r="U259" s="127">
        <f t="shared" si="501"/>
        <v>776443.85114146117</v>
      </c>
      <c r="V259" s="88"/>
      <c r="W259" s="127">
        <f t="shared" si="586"/>
        <v>25884368</v>
      </c>
      <c r="X259" s="623">
        <f t="shared" si="587"/>
        <v>0.12895974799310891</v>
      </c>
      <c r="Y259" s="127">
        <f t="shared" ref="Y259:Y265" si="589">W259*0.1733</f>
        <v>4485760.9744000006</v>
      </c>
      <c r="DI259" s="6"/>
      <c r="DU259" s="55"/>
      <c r="GF259" s="6"/>
      <c r="GH259" s="180"/>
      <c r="GT259" s="6"/>
      <c r="GY259" s="53"/>
      <c r="GZ259" s="182"/>
    </row>
    <row r="260" spans="1:208">
      <c r="A260" s="231">
        <v>38530</v>
      </c>
      <c r="B260" s="95">
        <f t="shared" si="572"/>
        <v>1895115</v>
      </c>
      <c r="C260" s="48">
        <f t="shared" si="575"/>
        <v>145102</v>
      </c>
      <c r="D260" s="127">
        <f t="shared" si="576"/>
        <v>-885</v>
      </c>
      <c r="E260" s="127">
        <f t="shared" si="577"/>
        <v>194846.75</v>
      </c>
      <c r="F260" s="48">
        <f t="shared" si="578"/>
        <v>99081.55</v>
      </c>
      <c r="G260" s="48">
        <f t="shared" si="579"/>
        <v>273032.67162209569</v>
      </c>
      <c r="H260" s="127">
        <f t="shared" si="580"/>
        <v>2338161</v>
      </c>
      <c r="I260" s="127">
        <f t="shared" si="573"/>
        <v>3233245</v>
      </c>
      <c r="J260" s="127">
        <f t="shared" si="581"/>
        <v>-895084</v>
      </c>
      <c r="K260" s="127"/>
      <c r="L260" s="127">
        <f t="shared" si="588"/>
        <v>365076</v>
      </c>
      <c r="M260" s="48">
        <f t="shared" si="582"/>
        <v>204076.23333333334</v>
      </c>
      <c r="N260" s="61">
        <f t="shared" si="583"/>
        <v>645146.89324419142</v>
      </c>
      <c r="O260" s="48">
        <f t="shared" si="584"/>
        <v>-446983.79324419139</v>
      </c>
      <c r="P260" s="25">
        <f t="shared" si="574"/>
        <v>492158.32341085264</v>
      </c>
      <c r="Q260" s="25">
        <f t="shared" si="574"/>
        <v>-282851.09860465111</v>
      </c>
      <c r="R260" s="677">
        <f t="shared" si="560"/>
        <v>1895115</v>
      </c>
      <c r="S260" s="127">
        <f t="shared" si="585"/>
        <v>249950</v>
      </c>
      <c r="T260" s="127">
        <f t="shared" si="500"/>
        <v>1418522.2143234741</v>
      </c>
      <c r="U260" s="127">
        <f t="shared" si="501"/>
        <v>776443.85114146117</v>
      </c>
      <c r="V260" s="88"/>
      <c r="W260" s="127">
        <f t="shared" si="586"/>
        <v>24856383</v>
      </c>
      <c r="X260" s="623">
        <f t="shared" si="587"/>
        <v>5.5634244169076058E-2</v>
      </c>
      <c r="Y260" s="127">
        <f t="shared" si="589"/>
        <v>4307611.1738999998</v>
      </c>
      <c r="DI260" s="6"/>
      <c r="DU260" s="55"/>
      <c r="GF260" s="6"/>
      <c r="GH260" s="180"/>
      <c r="GT260" s="6"/>
      <c r="GY260" s="53"/>
      <c r="GZ260" s="182"/>
    </row>
    <row r="261" spans="1:208">
      <c r="A261" s="231">
        <v>38560</v>
      </c>
      <c r="B261" s="95">
        <f t="shared" si="572"/>
        <v>1866935</v>
      </c>
      <c r="C261" s="48">
        <f t="shared" si="575"/>
        <v>140017</v>
      </c>
      <c r="D261" s="127">
        <f t="shared" si="576"/>
        <v>65145</v>
      </c>
      <c r="E261" s="127">
        <f t="shared" si="577"/>
        <v>158488.66666666666</v>
      </c>
      <c r="F261" s="48">
        <f t="shared" si="578"/>
        <v>107627</v>
      </c>
      <c r="G261" s="48">
        <f t="shared" si="579"/>
        <v>265947.95298398682</v>
      </c>
      <c r="H261" s="127">
        <f t="shared" si="580"/>
        <v>1901864</v>
      </c>
      <c r="I261" s="127">
        <f t="shared" si="573"/>
        <v>3578902</v>
      </c>
      <c r="J261" s="127">
        <f t="shared" si="581"/>
        <v>-1677038</v>
      </c>
      <c r="K261" s="127"/>
      <c r="L261" s="127">
        <f t="shared" si="588"/>
        <v>5085</v>
      </c>
      <c r="M261" s="48">
        <f t="shared" si="582"/>
        <v>191590.31666666668</v>
      </c>
      <c r="N261" s="61">
        <f t="shared" si="583"/>
        <v>639522.90596797364</v>
      </c>
      <c r="O261" s="48">
        <f t="shared" si="584"/>
        <v>-424268.90596797364</v>
      </c>
      <c r="P261" s="25">
        <f t="shared" si="574"/>
        <v>492158.32341085264</v>
      </c>
      <c r="Q261" s="25">
        <f t="shared" si="574"/>
        <v>-282851.09860465111</v>
      </c>
      <c r="R261" s="677">
        <f t="shared" si="560"/>
        <v>1866935</v>
      </c>
      <c r="S261" s="127">
        <f t="shared" si="585"/>
        <v>28180</v>
      </c>
      <c r="T261" s="127">
        <f t="shared" si="500"/>
        <v>1418522.2143234741</v>
      </c>
      <c r="U261" s="127">
        <f t="shared" si="501"/>
        <v>776443.85114146117</v>
      </c>
      <c r="V261" s="88"/>
      <c r="W261" s="127">
        <f t="shared" si="586"/>
        <v>24107407</v>
      </c>
      <c r="X261" s="623">
        <f t="shared" si="587"/>
        <v>-9.313780867294218E-3</v>
      </c>
      <c r="Y261" s="127">
        <f t="shared" si="589"/>
        <v>4177813.6331000002</v>
      </c>
      <c r="DI261" s="6"/>
      <c r="DU261" s="55"/>
      <c r="GF261" s="6"/>
      <c r="GH261" s="180"/>
      <c r="GT261" s="6"/>
      <c r="GY261" s="53"/>
      <c r="GZ261" s="182"/>
    </row>
    <row r="262" spans="1:208">
      <c r="A262" s="231">
        <v>38591</v>
      </c>
      <c r="B262" s="95">
        <f t="shared" si="572"/>
        <v>2111874</v>
      </c>
      <c r="C262" s="48">
        <f t="shared" si="575"/>
        <v>433882</v>
      </c>
      <c r="D262" s="127">
        <f t="shared" si="576"/>
        <v>719001</v>
      </c>
      <c r="E262" s="127">
        <f t="shared" si="577"/>
        <v>158535.75</v>
      </c>
      <c r="F262" s="48">
        <f t="shared" si="578"/>
        <v>116963.4</v>
      </c>
      <c r="G262" s="48">
        <f t="shared" si="579"/>
        <v>267425.26135296508</v>
      </c>
      <c r="H262" s="127">
        <f t="shared" si="580"/>
        <v>1902429</v>
      </c>
      <c r="I262" s="127">
        <f t="shared" si="573"/>
        <v>3897328</v>
      </c>
      <c r="J262" s="127">
        <f t="shared" si="581"/>
        <v>-1994899</v>
      </c>
      <c r="K262" s="127"/>
      <c r="L262" s="127">
        <f t="shared" si="588"/>
        <v>293865</v>
      </c>
      <c r="M262" s="48">
        <f t="shared" si="582"/>
        <v>192381.26666666666</v>
      </c>
      <c r="N262" s="61">
        <f t="shared" si="583"/>
        <v>651813.92270593019</v>
      </c>
      <c r="O262" s="48">
        <f t="shared" si="584"/>
        <v>-417887.12270593015</v>
      </c>
      <c r="P262" s="25">
        <f t="shared" si="574"/>
        <v>492158.32341085264</v>
      </c>
      <c r="Q262" s="25">
        <f t="shared" si="574"/>
        <v>-282851.09860465111</v>
      </c>
      <c r="R262" s="677">
        <f t="shared" si="560"/>
        <v>2111874</v>
      </c>
      <c r="S262" s="127">
        <f t="shared" si="585"/>
        <v>244939</v>
      </c>
      <c r="T262" s="127">
        <f t="shared" si="500"/>
        <v>1418522.2143234741</v>
      </c>
      <c r="U262" s="127">
        <f t="shared" si="501"/>
        <v>776443.85114146117</v>
      </c>
      <c r="V262" s="88"/>
      <c r="W262" s="127">
        <f t="shared" si="586"/>
        <v>23759915</v>
      </c>
      <c r="X262" s="623">
        <f t="shared" si="587"/>
        <v>-4.9124044413269619E-2</v>
      </c>
      <c r="Y262" s="127">
        <f t="shared" si="589"/>
        <v>4117593.2695000004</v>
      </c>
      <c r="DI262" s="6"/>
      <c r="DU262" s="55"/>
      <c r="GF262" s="6"/>
      <c r="GH262" s="180"/>
      <c r="GT262" s="6"/>
      <c r="GY262" s="53"/>
      <c r="GZ262" s="182"/>
    </row>
    <row r="263" spans="1:208">
      <c r="A263" s="231">
        <v>38622</v>
      </c>
      <c r="B263" s="95">
        <f t="shared" si="572"/>
        <v>1784021</v>
      </c>
      <c r="C263" s="48">
        <f t="shared" si="575"/>
        <v>-106</v>
      </c>
      <c r="D263" s="127">
        <f t="shared" si="576"/>
        <v>573793</v>
      </c>
      <c r="E263" s="127">
        <f t="shared" si="577"/>
        <v>116573.33333333333</v>
      </c>
      <c r="F263" s="48">
        <f t="shared" si="578"/>
        <v>112945.96666666666</v>
      </c>
      <c r="G263" s="48">
        <f t="shared" si="579"/>
        <v>267341.7990933581</v>
      </c>
      <c r="H263" s="127">
        <f t="shared" si="580"/>
        <v>1398880</v>
      </c>
      <c r="I263" s="127">
        <f t="shared" si="573"/>
        <v>4230237</v>
      </c>
      <c r="J263" s="127">
        <f t="shared" si="581"/>
        <v>-2831357</v>
      </c>
      <c r="K263" s="127"/>
      <c r="L263" s="127">
        <f t="shared" si="588"/>
        <v>433988</v>
      </c>
      <c r="M263" s="48">
        <f t="shared" si="582"/>
        <v>193493.7</v>
      </c>
      <c r="N263" s="61">
        <f t="shared" si="583"/>
        <v>647629.56485338288</v>
      </c>
      <c r="O263" s="48">
        <f t="shared" si="584"/>
        <v>-421737.63152004953</v>
      </c>
      <c r="P263" s="25">
        <f t="shared" si="574"/>
        <v>492158.32341085264</v>
      </c>
      <c r="Q263" s="25">
        <f t="shared" si="574"/>
        <v>-282851.09860465111</v>
      </c>
      <c r="R263" s="677">
        <f t="shared" si="560"/>
        <v>1784021</v>
      </c>
      <c r="S263" s="127">
        <f t="shared" si="585"/>
        <v>327853</v>
      </c>
      <c r="T263" s="127">
        <f t="shared" si="500"/>
        <v>1418522.2143234741</v>
      </c>
      <c r="U263" s="127">
        <f t="shared" si="501"/>
        <v>776443.85114146117</v>
      </c>
      <c r="V263" s="88"/>
      <c r="W263" s="127">
        <f t="shared" si="586"/>
        <v>23097717</v>
      </c>
      <c r="X263" s="623">
        <f t="shared" si="587"/>
        <v>-0.10012899815484835</v>
      </c>
      <c r="Y263" s="127">
        <f t="shared" si="589"/>
        <v>4002834.3561000004</v>
      </c>
      <c r="DI263" s="6"/>
      <c r="DU263" s="55"/>
      <c r="GF263" s="6"/>
      <c r="GH263" s="180"/>
      <c r="GT263" s="6"/>
      <c r="GY263" s="53"/>
      <c r="GZ263" s="182"/>
    </row>
    <row r="264" spans="1:208">
      <c r="A264" s="231">
        <v>38652</v>
      </c>
      <c r="B264" s="95">
        <f t="shared" si="572"/>
        <v>1730173</v>
      </c>
      <c r="C264" s="48">
        <f t="shared" si="575"/>
        <v>-101578</v>
      </c>
      <c r="D264" s="127">
        <f t="shared" si="576"/>
        <v>332198</v>
      </c>
      <c r="E264" s="127">
        <f t="shared" si="577"/>
        <v>54998.166666666664</v>
      </c>
      <c r="F264" s="48">
        <f t="shared" si="578"/>
        <v>108184.08333333333</v>
      </c>
      <c r="G264" s="48">
        <f t="shared" si="579"/>
        <v>268593.91365949664</v>
      </c>
      <c r="H264" s="127">
        <f t="shared" si="580"/>
        <v>659978</v>
      </c>
      <c r="I264" s="127">
        <f t="shared" si="573"/>
        <v>4516905</v>
      </c>
      <c r="J264" s="127">
        <f t="shared" si="581"/>
        <v>-3856927</v>
      </c>
      <c r="K264" s="127"/>
      <c r="L264" s="127">
        <f t="shared" si="588"/>
        <v>101472</v>
      </c>
      <c r="M264" s="48">
        <f t="shared" si="582"/>
        <v>194238.15</v>
      </c>
      <c r="N264" s="61">
        <f t="shared" si="583"/>
        <v>645371.91065232665</v>
      </c>
      <c r="O264" s="48">
        <f t="shared" si="584"/>
        <v>-429003.74398565997</v>
      </c>
      <c r="P264" s="25">
        <f t="shared" si="574"/>
        <v>492158.32341085264</v>
      </c>
      <c r="Q264" s="25">
        <f t="shared" si="574"/>
        <v>-282851.09860465111</v>
      </c>
      <c r="R264" s="677">
        <f t="shared" si="560"/>
        <v>1730173</v>
      </c>
      <c r="S264" s="127">
        <f t="shared" si="585"/>
        <v>53848</v>
      </c>
      <c r="T264" s="127">
        <f t="shared" si="500"/>
        <v>1418522.2143234741</v>
      </c>
      <c r="U264" s="127">
        <f t="shared" si="501"/>
        <v>776443.85114146117</v>
      </c>
      <c r="V264" s="88"/>
      <c r="W264" s="127">
        <f t="shared" si="586"/>
        <v>22150897</v>
      </c>
      <c r="X264" s="623">
        <f t="shared" si="587"/>
        <v>-0.16268791319583675</v>
      </c>
      <c r="Y264" s="127">
        <f t="shared" si="589"/>
        <v>3838750.4501</v>
      </c>
      <c r="DI264" s="6"/>
      <c r="DU264" s="55"/>
      <c r="GF264" s="6"/>
      <c r="GH264" s="180"/>
      <c r="GT264" s="6"/>
      <c r="GY264" s="53"/>
      <c r="GZ264" s="182"/>
    </row>
    <row r="265" spans="1:208">
      <c r="A265" s="231">
        <v>38683</v>
      </c>
      <c r="B265" s="95">
        <f t="shared" si="572"/>
        <v>1582971</v>
      </c>
      <c r="C265" s="48">
        <f>IF(B265&lt;&gt;"",AW13,"")</f>
        <v>-28807</v>
      </c>
      <c r="D265" s="127">
        <f>IF(B265&lt;&gt;"",C265+C264+C263,"")</f>
        <v>-130491</v>
      </c>
      <c r="E265" s="127">
        <f>IF(B265&lt;&gt;"",AVERAGE(C254:C265),"")</f>
        <v>52216.25</v>
      </c>
      <c r="F265" s="48">
        <f t="shared" si="578"/>
        <v>110166.35</v>
      </c>
      <c r="G265" s="48">
        <f t="shared" si="579"/>
        <v>267107.88967596332</v>
      </c>
      <c r="H265" s="127">
        <f>IF(B265&lt;&gt;"",SUM(C254:C265),"")</f>
        <v>626595</v>
      </c>
      <c r="I265" s="127">
        <f>IF(B265&lt;&gt;"",H253,"")</f>
        <v>4431174</v>
      </c>
      <c r="J265" s="127">
        <f>IF(B265&lt;&gt;"",H265-I265,"")</f>
        <v>-3804579</v>
      </c>
      <c r="K265" s="127"/>
      <c r="L265" s="127">
        <f t="shared" si="588"/>
        <v>72771</v>
      </c>
      <c r="M265" s="48">
        <f t="shared" si="582"/>
        <v>189919.7</v>
      </c>
      <c r="N265" s="61">
        <f t="shared" si="583"/>
        <v>644382.12935192662</v>
      </c>
      <c r="O265" s="48">
        <f t="shared" si="584"/>
        <v>-424049.42935192666</v>
      </c>
      <c r="P265" s="25">
        <f t="shared" si="574"/>
        <v>492158.32341085264</v>
      </c>
      <c r="Q265" s="25">
        <f t="shared" si="574"/>
        <v>-282851.09860465111</v>
      </c>
      <c r="R265" s="677">
        <f t="shared" si="560"/>
        <v>1582971</v>
      </c>
      <c r="S265" s="127">
        <f t="shared" si="585"/>
        <v>147202</v>
      </c>
      <c r="T265" s="127">
        <f t="shared" si="500"/>
        <v>1418522.2143234741</v>
      </c>
      <c r="U265" s="127">
        <f t="shared" si="501"/>
        <v>776443.85114146117</v>
      </c>
      <c r="V265" s="88"/>
      <c r="W265" s="127">
        <f t="shared" si="586"/>
        <v>21740869</v>
      </c>
      <c r="X265" s="623">
        <f t="shared" si="587"/>
        <v>-0.18846028438962725</v>
      </c>
      <c r="Y265" s="127">
        <f t="shared" si="589"/>
        <v>3767692.5977000003</v>
      </c>
      <c r="DI265" s="6"/>
      <c r="DU265" s="55"/>
      <c r="GF265" s="6"/>
      <c r="GH265" s="180"/>
      <c r="GT265" s="6"/>
      <c r="GY265" s="53"/>
      <c r="GZ265" s="182"/>
    </row>
    <row r="266" spans="1:208">
      <c r="A266" s="668">
        <v>38713</v>
      </c>
      <c r="B266" s="626">
        <f t="shared" si="572"/>
        <v>1723064</v>
      </c>
      <c r="C266" s="565">
        <f>IF(B266&lt;&gt;"",AW14,"")</f>
        <v>-201599</v>
      </c>
      <c r="D266" s="121">
        <f>IF(B266&lt;&gt;"",C266+C265+C264,"")</f>
        <v>-331984</v>
      </c>
      <c r="E266" s="121">
        <f>IF(B266&lt;&gt;"",AVERAGE(C255:C266),"")</f>
        <v>45481.166666666664</v>
      </c>
      <c r="F266" s="48">
        <f t="shared" si="578"/>
        <v>110452.33333333333</v>
      </c>
      <c r="G266" s="48">
        <f t="shared" si="579"/>
        <v>266758.71015440702</v>
      </c>
      <c r="H266" s="121">
        <f>IF(B266&lt;&gt;"",SUM(C255:C266),"")</f>
        <v>545774</v>
      </c>
      <c r="I266" s="121">
        <f>IF(B266&lt;&gt;"",H254,"")</f>
        <v>4367788</v>
      </c>
      <c r="J266" s="121">
        <f>IF(B266&lt;&gt;"",H266-I266,"")</f>
        <v>-3822014</v>
      </c>
      <c r="K266" s="121"/>
      <c r="L266" s="121">
        <f t="shared" ref="L266:L278" si="590">((C265-C266)^2)^0.5</f>
        <v>172792</v>
      </c>
      <c r="M266" s="48">
        <f t="shared" si="582"/>
        <v>191615.98333333334</v>
      </c>
      <c r="N266" s="61">
        <f t="shared" si="583"/>
        <v>643969.75364214741</v>
      </c>
      <c r="O266" s="48">
        <f t="shared" si="584"/>
        <v>-423065.08697548072</v>
      </c>
      <c r="P266" s="121">
        <f t="shared" si="574"/>
        <v>492158.32341085264</v>
      </c>
      <c r="Q266" s="121">
        <f t="shared" si="574"/>
        <v>-282851.09860465111</v>
      </c>
      <c r="R266" s="626">
        <f t="shared" ref="R266:R278" si="591">B266</f>
        <v>1723064</v>
      </c>
      <c r="S266" s="121">
        <f t="shared" ref="S266:S278" si="592">IF(R266&lt;&gt;"",ABS(R265-R266)," ")</f>
        <v>140093</v>
      </c>
      <c r="T266" s="121">
        <f t="shared" si="500"/>
        <v>1418522.2143234741</v>
      </c>
      <c r="U266" s="121">
        <f t="shared" si="501"/>
        <v>776443.85114146117</v>
      </c>
      <c r="V266" s="52"/>
      <c r="W266" s="121">
        <f t="shared" si="586"/>
        <v>21069013</v>
      </c>
      <c r="X266" s="567">
        <f t="shared" ref="X266:X278" si="593">IF(B266&lt;&gt;"",(W266-W254)/W254,"")</f>
        <v>-0.21847050294576606</v>
      </c>
      <c r="Y266" s="121">
        <f t="shared" ref="Y266:Y278" si="594">W266*0.1733</f>
        <v>3651259.9529000004</v>
      </c>
      <c r="DI266" s="6"/>
      <c r="DU266" s="55"/>
      <c r="GF266" s="6"/>
      <c r="GH266" s="180"/>
      <c r="GT266" s="6"/>
      <c r="GY266" s="53"/>
      <c r="GZ266" s="182"/>
    </row>
    <row r="267" spans="1:208">
      <c r="A267" s="676">
        <v>38744</v>
      </c>
      <c r="B267" s="677">
        <f t="shared" ref="B267:B278" si="595">IF(CE3&gt;0,CE3,"")</f>
        <v>1068538</v>
      </c>
      <c r="C267" s="26">
        <f>IF(B267&lt;&gt;"",AX3,"")</f>
        <v>-376885</v>
      </c>
      <c r="D267" s="127">
        <f>IF(B267&lt;&gt;"",C267+C266+C265,"")</f>
        <v>-607291</v>
      </c>
      <c r="E267" s="127">
        <f>IF(B267&lt;&gt;"",AVERAGE(C256:C267),"")</f>
        <v>27120.5</v>
      </c>
      <c r="F267" s="48">
        <f t="shared" si="578"/>
        <v>109008.18333333333</v>
      </c>
      <c r="G267" s="48">
        <f t="shared" si="579"/>
        <v>269188.16300407454</v>
      </c>
      <c r="H267" s="127">
        <f>IF(B267&lt;&gt;"",SUM(C256:C267),"")</f>
        <v>325446</v>
      </c>
      <c r="I267" s="127">
        <f>IF(B267&lt;&gt;"",H255,"")</f>
        <v>4128578</v>
      </c>
      <c r="J267" s="127">
        <f>IF(B267&lt;&gt;"",H267-I267,"")</f>
        <v>-3803132</v>
      </c>
      <c r="K267" s="127"/>
      <c r="L267" s="127">
        <f t="shared" si="590"/>
        <v>175286</v>
      </c>
      <c r="M267" s="48">
        <f t="shared" si="582"/>
        <v>193346.11666666667</v>
      </c>
      <c r="N267" s="61">
        <f t="shared" si="583"/>
        <v>647384.50934148242</v>
      </c>
      <c r="O267" s="48">
        <f t="shared" si="584"/>
        <v>-429368.14267481572</v>
      </c>
      <c r="P267" s="25">
        <f t="shared" si="574"/>
        <v>492158.32341085264</v>
      </c>
      <c r="Q267" s="25">
        <f t="shared" si="574"/>
        <v>-282851.09860465111</v>
      </c>
      <c r="R267" s="677">
        <f t="shared" si="591"/>
        <v>1068538</v>
      </c>
      <c r="S267" s="127">
        <f t="shared" si="592"/>
        <v>654526</v>
      </c>
      <c r="T267" s="127">
        <f t="shared" ref="T267:T314" si="596">$R$317+1.88*$S$317</f>
        <v>1418522.2143234741</v>
      </c>
      <c r="U267" s="127">
        <f t="shared" ref="U267:U314" si="597">$R$317-1.88*$S$317</f>
        <v>776443.85114146117</v>
      </c>
      <c r="V267" s="88"/>
      <c r="W267" s="127">
        <f t="shared" si="586"/>
        <v>20776629</v>
      </c>
      <c r="X267" s="623">
        <f t="shared" si="593"/>
        <v>-0.22691152765932746</v>
      </c>
      <c r="Y267" s="127">
        <f t="shared" si="594"/>
        <v>3600589.8057000004</v>
      </c>
      <c r="DI267" s="6"/>
      <c r="DU267" s="55"/>
      <c r="GF267" s="6"/>
      <c r="GH267" s="180"/>
      <c r="GT267" s="6"/>
      <c r="GY267" s="53"/>
      <c r="GZ267" s="182"/>
    </row>
    <row r="268" spans="1:208">
      <c r="A268" s="676">
        <v>38775</v>
      </c>
      <c r="B268" s="677">
        <f t="shared" si="595"/>
        <v>1312118</v>
      </c>
      <c r="C268" s="26">
        <f t="shared" ref="C268:C278" si="598">IF(B268&lt;&gt;"",AX4,"")</f>
        <v>-264312</v>
      </c>
      <c r="D268" s="127">
        <f t="shared" ref="D268:D278" si="599">IF(B268&lt;&gt;"",C268+C267+C266,"")</f>
        <v>-842796</v>
      </c>
      <c r="E268" s="127">
        <f t="shared" ref="E268:E278" si="600">IF(B268&lt;&gt;"",AVERAGE(C257:C268),"")</f>
        <v>-2927.3333333333335</v>
      </c>
      <c r="F268" s="48">
        <f t="shared" si="578"/>
        <v>109052.31666666667</v>
      </c>
      <c r="G268" s="48">
        <f t="shared" si="579"/>
        <v>269125.68818837067</v>
      </c>
      <c r="H268" s="127">
        <f t="shared" ref="H268:H278" si="601">IF(B268&lt;&gt;"",SUM(C257:C268),"")</f>
        <v>-35128</v>
      </c>
      <c r="I268" s="127">
        <f t="shared" ref="I268:I278" si="602">IF(B268&lt;&gt;"",H256,"")</f>
        <v>4064409</v>
      </c>
      <c r="J268" s="127">
        <f t="shared" ref="J268:J278" si="603">IF(B268&lt;&gt;"",H268-I268,"")</f>
        <v>-4099537</v>
      </c>
      <c r="K268" s="25">
        <f>AVERAGE(C266+C267+C268)</f>
        <v>-842796</v>
      </c>
      <c r="L268" s="127">
        <f t="shared" si="590"/>
        <v>112573</v>
      </c>
      <c r="M268" s="48">
        <f t="shared" si="582"/>
        <v>194834.4</v>
      </c>
      <c r="N268" s="61">
        <f t="shared" si="583"/>
        <v>647303.69304340798</v>
      </c>
      <c r="O268" s="48">
        <f t="shared" si="584"/>
        <v>-429199.05971007468</v>
      </c>
      <c r="P268" s="25">
        <f t="shared" si="574"/>
        <v>492158.32341085264</v>
      </c>
      <c r="Q268" s="25">
        <f t="shared" si="574"/>
        <v>-282851.09860465111</v>
      </c>
      <c r="R268" s="677">
        <f t="shared" si="591"/>
        <v>1312118</v>
      </c>
      <c r="S268" s="127">
        <f t="shared" si="592"/>
        <v>243580</v>
      </c>
      <c r="T268" s="127">
        <f t="shared" si="596"/>
        <v>1418522.2143234741</v>
      </c>
      <c r="U268" s="127">
        <f t="shared" si="597"/>
        <v>776443.85114146117</v>
      </c>
      <c r="V268" s="88"/>
      <c r="W268" s="127">
        <f t="shared" si="586"/>
        <v>20356435</v>
      </c>
      <c r="X268" s="623">
        <f t="shared" si="593"/>
        <v>-0.24422212251500544</v>
      </c>
      <c r="Y268" s="127">
        <f t="shared" si="594"/>
        <v>3527770.1855000001</v>
      </c>
      <c r="DI268" s="6"/>
      <c r="DU268" s="55"/>
      <c r="GF268" s="6"/>
      <c r="GH268" s="180"/>
      <c r="GT268" s="6"/>
      <c r="GY268" s="53"/>
      <c r="GZ268" s="182"/>
    </row>
    <row r="269" spans="1:208">
      <c r="A269" s="676">
        <v>38803</v>
      </c>
      <c r="B269" s="677">
        <f t="shared" si="595"/>
        <v>1449024</v>
      </c>
      <c r="C269" s="26">
        <f t="shared" si="598"/>
        <v>-299192</v>
      </c>
      <c r="D269" s="127">
        <f t="shared" si="599"/>
        <v>-940389</v>
      </c>
      <c r="E269" s="127">
        <f t="shared" si="600"/>
        <v>-58288.75</v>
      </c>
      <c r="F269" s="48">
        <f t="shared" si="578"/>
        <v>96832.016666666663</v>
      </c>
      <c r="G269" s="48">
        <f t="shared" si="579"/>
        <v>270761.1653122931</v>
      </c>
      <c r="H269" s="127">
        <f t="shared" si="601"/>
        <v>-699465</v>
      </c>
      <c r="I269" s="127">
        <f t="shared" si="602"/>
        <v>4275277</v>
      </c>
      <c r="J269" s="127">
        <f t="shared" si="603"/>
        <v>-4974742</v>
      </c>
      <c r="K269" s="127"/>
      <c r="L269" s="127">
        <f t="shared" si="590"/>
        <v>34880</v>
      </c>
      <c r="M269" s="48">
        <f t="shared" si="582"/>
        <v>183732.63333333333</v>
      </c>
      <c r="N269" s="61">
        <f t="shared" si="583"/>
        <v>638354.34729125281</v>
      </c>
      <c r="O269" s="48">
        <f t="shared" si="584"/>
        <v>-444690.31395791954</v>
      </c>
      <c r="P269" s="25">
        <f t="shared" si="574"/>
        <v>492158.32341085264</v>
      </c>
      <c r="Q269" s="25">
        <f t="shared" si="574"/>
        <v>-282851.09860465111</v>
      </c>
      <c r="R269" s="677">
        <f t="shared" si="591"/>
        <v>1449024</v>
      </c>
      <c r="S269" s="127">
        <f t="shared" si="592"/>
        <v>136906</v>
      </c>
      <c r="T269" s="127">
        <f t="shared" si="596"/>
        <v>1418522.2143234741</v>
      </c>
      <c r="U269" s="127">
        <f t="shared" si="597"/>
        <v>776443.85114146117</v>
      </c>
      <c r="V269" s="88"/>
      <c r="W269" s="127">
        <f t="shared" si="586"/>
        <v>19864112</v>
      </c>
      <c r="X269" s="623">
        <f t="shared" si="593"/>
        <v>-0.26949929246933552</v>
      </c>
      <c r="Y269" s="127">
        <f t="shared" si="594"/>
        <v>3442450.6096000001</v>
      </c>
      <c r="DI269" s="6"/>
      <c r="DU269" s="55"/>
      <c r="GF269" s="6"/>
      <c r="GH269" s="180"/>
      <c r="GT269" s="6"/>
      <c r="GY269" s="53"/>
      <c r="GZ269" s="182"/>
    </row>
    <row r="270" spans="1:208">
      <c r="A270" s="676">
        <v>38834</v>
      </c>
      <c r="B270" s="677">
        <f t="shared" si="595"/>
        <v>2439492</v>
      </c>
      <c r="C270" s="26">
        <f t="shared" si="598"/>
        <v>598107</v>
      </c>
      <c r="D270" s="127">
        <f t="shared" si="599"/>
        <v>34603</v>
      </c>
      <c r="E270" s="127">
        <f t="shared" si="600"/>
        <v>-14612.083333333334</v>
      </c>
      <c r="F270" s="48">
        <f t="shared" si="578"/>
        <v>104056.98333333334</v>
      </c>
      <c r="G270" s="48">
        <f t="shared" si="579"/>
        <v>278279.69683855673</v>
      </c>
      <c r="H270" s="127">
        <f t="shared" si="601"/>
        <v>-175345</v>
      </c>
      <c r="I270" s="127">
        <f t="shared" si="602"/>
        <v>3772879</v>
      </c>
      <c r="J270" s="127">
        <f t="shared" si="603"/>
        <v>-3948224</v>
      </c>
      <c r="K270" s="127"/>
      <c r="L270" s="127">
        <f t="shared" si="590"/>
        <v>897299</v>
      </c>
      <c r="M270" s="48">
        <f t="shared" si="582"/>
        <v>194197.33333333334</v>
      </c>
      <c r="N270" s="61">
        <f t="shared" si="583"/>
        <v>660616.37701044674</v>
      </c>
      <c r="O270" s="48">
        <f t="shared" si="584"/>
        <v>-452502.41034378012</v>
      </c>
      <c r="P270" s="25">
        <f t="shared" si="574"/>
        <v>492158.32341085264</v>
      </c>
      <c r="Q270" s="25">
        <f t="shared" si="574"/>
        <v>-282851.09860465111</v>
      </c>
      <c r="R270" s="677">
        <f t="shared" si="591"/>
        <v>2439492</v>
      </c>
      <c r="S270" s="127">
        <f t="shared" si="592"/>
        <v>990468</v>
      </c>
      <c r="T270" s="127">
        <f t="shared" si="596"/>
        <v>1418522.2143234741</v>
      </c>
      <c r="U270" s="127">
        <f t="shared" si="597"/>
        <v>776443.85114146117</v>
      </c>
      <c r="V270" s="88"/>
      <c r="W270" s="127">
        <f t="shared" si="586"/>
        <v>20608490</v>
      </c>
      <c r="X270" s="623">
        <f t="shared" si="593"/>
        <v>-0.22912536611746895</v>
      </c>
      <c r="Y270" s="127">
        <f t="shared" si="594"/>
        <v>3571451.3170000003</v>
      </c>
      <c r="DI270" s="6"/>
      <c r="DU270" s="55"/>
      <c r="GF270" s="6"/>
      <c r="GH270" s="180"/>
      <c r="GT270" s="6"/>
      <c r="GY270" s="53"/>
      <c r="GZ270" s="182"/>
    </row>
    <row r="271" spans="1:208">
      <c r="A271" s="676">
        <v>38864</v>
      </c>
      <c r="B271" s="677">
        <f t="shared" si="595"/>
        <v>2571487</v>
      </c>
      <c r="C271" s="26">
        <f t="shared" si="598"/>
        <v>598853</v>
      </c>
      <c r="D271" s="127">
        <f t="shared" si="599"/>
        <v>897768</v>
      </c>
      <c r="E271" s="127">
        <f t="shared" si="600"/>
        <v>53623.5</v>
      </c>
      <c r="F271" s="48">
        <f t="shared" si="578"/>
        <v>106603.61666666667</v>
      </c>
      <c r="G271" s="48">
        <f t="shared" si="579"/>
        <v>282134.93360646028</v>
      </c>
      <c r="H271" s="127">
        <f t="shared" si="601"/>
        <v>643482</v>
      </c>
      <c r="I271" s="127">
        <f t="shared" si="602"/>
        <v>2919647</v>
      </c>
      <c r="J271" s="127">
        <f t="shared" si="603"/>
        <v>-2276165</v>
      </c>
      <c r="K271" s="127"/>
      <c r="L271" s="127">
        <f t="shared" si="590"/>
        <v>746</v>
      </c>
      <c r="M271" s="48">
        <f t="shared" si="582"/>
        <v>189519</v>
      </c>
      <c r="N271" s="61">
        <f t="shared" si="583"/>
        <v>670873.48387958726</v>
      </c>
      <c r="O271" s="48">
        <f t="shared" si="584"/>
        <v>-457666.25054625387</v>
      </c>
      <c r="P271" s="25">
        <f t="shared" si="574"/>
        <v>492158.32341085264</v>
      </c>
      <c r="Q271" s="25">
        <f t="shared" si="574"/>
        <v>-282851.09860465111</v>
      </c>
      <c r="R271" s="677">
        <f t="shared" si="591"/>
        <v>2571487</v>
      </c>
      <c r="S271" s="127">
        <f t="shared" si="592"/>
        <v>131995</v>
      </c>
      <c r="T271" s="127">
        <f t="shared" si="596"/>
        <v>1418522.2143234741</v>
      </c>
      <c r="U271" s="127">
        <f t="shared" si="597"/>
        <v>776443.85114146117</v>
      </c>
      <c r="V271" s="88"/>
      <c r="W271" s="127">
        <f t="shared" si="586"/>
        <v>21534812</v>
      </c>
      <c r="X271" s="623">
        <f t="shared" si="593"/>
        <v>-0.16803794475491926</v>
      </c>
      <c r="Y271" s="127">
        <f t="shared" si="594"/>
        <v>3731982.9196000001</v>
      </c>
      <c r="DI271" s="6"/>
      <c r="DU271" s="55"/>
      <c r="GF271" s="6"/>
      <c r="GH271" s="180"/>
      <c r="GT271" s="6"/>
      <c r="GY271" s="53"/>
      <c r="GZ271" s="182"/>
    </row>
    <row r="272" spans="1:208" ht="13" customHeight="1">
      <c r="A272" s="676">
        <v>38895</v>
      </c>
      <c r="B272" s="677">
        <f t="shared" si="595"/>
        <v>2591287</v>
      </c>
      <c r="C272" s="26">
        <f t="shared" si="598"/>
        <v>699684</v>
      </c>
      <c r="D272" s="127">
        <f t="shared" si="599"/>
        <v>1896644</v>
      </c>
      <c r="E272" s="127">
        <f t="shared" si="600"/>
        <v>99838.666666666672</v>
      </c>
      <c r="F272" s="48">
        <f t="shared" si="578"/>
        <v>115024.96666666666</v>
      </c>
      <c r="G272" s="48">
        <f t="shared" si="579"/>
        <v>292162.81698644767</v>
      </c>
      <c r="H272" s="127">
        <f t="shared" si="601"/>
        <v>1198064</v>
      </c>
      <c r="I272" s="127">
        <f t="shared" si="602"/>
        <v>2338161</v>
      </c>
      <c r="J272" s="127">
        <f t="shared" si="603"/>
        <v>-1140097</v>
      </c>
      <c r="K272" s="127"/>
      <c r="L272" s="127">
        <f t="shared" si="590"/>
        <v>100831</v>
      </c>
      <c r="M272" s="48">
        <f t="shared" si="582"/>
        <v>187005.31666666668</v>
      </c>
      <c r="N272" s="61">
        <f t="shared" si="583"/>
        <v>699350.60063956201</v>
      </c>
      <c r="O272" s="48">
        <f t="shared" si="584"/>
        <v>-469300.66730622866</v>
      </c>
      <c r="P272" s="25">
        <f t="shared" si="574"/>
        <v>492158.32341085264</v>
      </c>
      <c r="Q272" s="25">
        <f t="shared" si="574"/>
        <v>-282851.09860465111</v>
      </c>
      <c r="R272" s="677">
        <f t="shared" si="591"/>
        <v>2591287</v>
      </c>
      <c r="S272" s="127">
        <f t="shared" si="592"/>
        <v>19800</v>
      </c>
      <c r="T272" s="127">
        <f t="shared" si="596"/>
        <v>1418522.2143234741</v>
      </c>
      <c r="U272" s="127">
        <f t="shared" si="597"/>
        <v>776443.85114146117</v>
      </c>
      <c r="V272" s="88"/>
      <c r="W272" s="127">
        <f t="shared" si="586"/>
        <v>22230984</v>
      </c>
      <c r="X272" s="623">
        <f t="shared" si="593"/>
        <v>-0.10562272877755384</v>
      </c>
      <c r="Y272" s="127">
        <f t="shared" si="594"/>
        <v>3852629.5272000004</v>
      </c>
      <c r="DI272" s="6"/>
      <c r="DU272" s="55"/>
      <c r="GF272" s="6"/>
      <c r="GH272" s="180"/>
      <c r="GT272" s="6"/>
      <c r="GY272" s="53"/>
      <c r="GZ272" s="182"/>
    </row>
    <row r="273" spans="1:208">
      <c r="A273" s="676">
        <v>38925</v>
      </c>
      <c r="B273" s="677">
        <f t="shared" si="595"/>
        <v>2053084</v>
      </c>
      <c r="C273" s="26">
        <f t="shared" si="598"/>
        <v>102285</v>
      </c>
      <c r="D273" s="127">
        <f t="shared" si="599"/>
        <v>1400822</v>
      </c>
      <c r="E273" s="127">
        <f t="shared" si="600"/>
        <v>96694.333333333328</v>
      </c>
      <c r="F273" s="48">
        <f t="shared" si="578"/>
        <v>122546.91666666667</v>
      </c>
      <c r="G273" s="48">
        <f t="shared" si="579"/>
        <v>285752.24069494079</v>
      </c>
      <c r="H273" s="127">
        <f t="shared" si="601"/>
        <v>1160332</v>
      </c>
      <c r="I273" s="127">
        <f t="shared" si="602"/>
        <v>1901864</v>
      </c>
      <c r="J273" s="127">
        <f t="shared" si="603"/>
        <v>-741532</v>
      </c>
      <c r="K273" s="127"/>
      <c r="L273" s="127">
        <f t="shared" si="590"/>
        <v>597399</v>
      </c>
      <c r="M273" s="48">
        <f t="shared" si="582"/>
        <v>187904.71666666667</v>
      </c>
      <c r="N273" s="61">
        <f t="shared" si="583"/>
        <v>694051.39805654821</v>
      </c>
      <c r="O273" s="48">
        <f t="shared" si="584"/>
        <v>-448957.56472321489</v>
      </c>
      <c r="P273" s="25">
        <f t="shared" si="574"/>
        <v>492158.32341085264</v>
      </c>
      <c r="Q273" s="25">
        <f t="shared" si="574"/>
        <v>-282851.09860465111</v>
      </c>
      <c r="R273" s="677">
        <f t="shared" si="591"/>
        <v>2053084</v>
      </c>
      <c r="S273" s="127">
        <f t="shared" si="592"/>
        <v>538203</v>
      </c>
      <c r="T273" s="127">
        <f t="shared" si="596"/>
        <v>1418522.2143234741</v>
      </c>
      <c r="U273" s="127">
        <f t="shared" si="597"/>
        <v>776443.85114146117</v>
      </c>
      <c r="V273" s="88"/>
      <c r="W273" s="127">
        <f t="shared" si="586"/>
        <v>22417133</v>
      </c>
      <c r="X273" s="623">
        <f t="shared" si="593"/>
        <v>-7.0114301384632538E-2</v>
      </c>
      <c r="Y273" s="127">
        <f t="shared" si="594"/>
        <v>3884889.1489000004</v>
      </c>
      <c r="DI273" s="6"/>
      <c r="DU273" s="55"/>
      <c r="GF273" s="6"/>
      <c r="GH273" s="180"/>
      <c r="GT273" s="6"/>
      <c r="GY273" s="53"/>
      <c r="GZ273" s="182"/>
    </row>
    <row r="274" spans="1:208">
      <c r="A274" s="676">
        <v>38956</v>
      </c>
      <c r="B274" s="677">
        <f t="shared" si="595"/>
        <v>2079675</v>
      </c>
      <c r="C274" s="26">
        <f t="shared" si="598"/>
        <v>421137</v>
      </c>
      <c r="D274" s="127">
        <f t="shared" si="599"/>
        <v>1223106</v>
      </c>
      <c r="E274" s="127">
        <f t="shared" si="600"/>
        <v>95632.25</v>
      </c>
      <c r="F274" s="48">
        <f t="shared" si="578"/>
        <v>128826.46666666666</v>
      </c>
      <c r="G274" s="48">
        <f t="shared" si="579"/>
        <v>288134.96558545454</v>
      </c>
      <c r="H274" s="127">
        <f t="shared" si="601"/>
        <v>1147587</v>
      </c>
      <c r="I274" s="127">
        <f t="shared" si="602"/>
        <v>1902429</v>
      </c>
      <c r="J274" s="127">
        <f t="shared" si="603"/>
        <v>-754842</v>
      </c>
      <c r="K274" s="127"/>
      <c r="L274" s="127">
        <f t="shared" si="590"/>
        <v>318852</v>
      </c>
      <c r="M274" s="48">
        <f t="shared" si="582"/>
        <v>186662.31666666668</v>
      </c>
      <c r="N274" s="61">
        <f t="shared" si="583"/>
        <v>705096.39783757576</v>
      </c>
      <c r="O274" s="48">
        <f t="shared" si="584"/>
        <v>-447443.46450424241</v>
      </c>
      <c r="P274" s="25">
        <f t="shared" si="574"/>
        <v>492158.32341085264</v>
      </c>
      <c r="Q274" s="25">
        <f t="shared" si="574"/>
        <v>-282851.09860465111</v>
      </c>
      <c r="R274" s="677">
        <f t="shared" si="591"/>
        <v>2079675</v>
      </c>
      <c r="S274" s="127">
        <f t="shared" si="592"/>
        <v>26591</v>
      </c>
      <c r="T274" s="127">
        <f t="shared" si="596"/>
        <v>1418522.2143234741</v>
      </c>
      <c r="U274" s="127">
        <f t="shared" si="597"/>
        <v>776443.85114146117</v>
      </c>
      <c r="V274" s="88"/>
      <c r="W274" s="127">
        <f t="shared" si="586"/>
        <v>22384934</v>
      </c>
      <c r="X274" s="623">
        <f t="shared" si="593"/>
        <v>-5.7869777732790707E-2</v>
      </c>
      <c r="Y274" s="127">
        <f t="shared" si="594"/>
        <v>3879309.0622</v>
      </c>
      <c r="DI274" s="6"/>
      <c r="DU274" s="55"/>
      <c r="GF274" s="6"/>
      <c r="GH274" s="180"/>
      <c r="GT274" s="6"/>
      <c r="GY274" s="53"/>
      <c r="GZ274" s="182"/>
    </row>
    <row r="275" spans="1:208">
      <c r="A275" s="676">
        <v>38987</v>
      </c>
      <c r="B275" s="677">
        <f t="shared" si="595"/>
        <v>2100245</v>
      </c>
      <c r="C275" s="26">
        <f t="shared" si="598"/>
        <v>262188</v>
      </c>
      <c r="D275" s="127">
        <f t="shared" si="599"/>
        <v>785610</v>
      </c>
      <c r="E275" s="127">
        <f t="shared" si="600"/>
        <v>117490.08333333333</v>
      </c>
      <c r="F275" s="48">
        <f t="shared" si="578"/>
        <v>131926.03333333333</v>
      </c>
      <c r="G275" s="48">
        <f t="shared" si="579"/>
        <v>288559.38299332844</v>
      </c>
      <c r="H275" s="127">
        <f t="shared" si="601"/>
        <v>1409881</v>
      </c>
      <c r="I275" s="127">
        <f t="shared" si="602"/>
        <v>1398880</v>
      </c>
      <c r="J275" s="127">
        <f t="shared" si="603"/>
        <v>11001</v>
      </c>
      <c r="K275" s="127"/>
      <c r="L275" s="127">
        <f t="shared" si="590"/>
        <v>158949</v>
      </c>
      <c r="M275" s="48">
        <f t="shared" si="582"/>
        <v>188780.63333333333</v>
      </c>
      <c r="N275" s="61">
        <f t="shared" si="583"/>
        <v>709044.79931999021</v>
      </c>
      <c r="O275" s="48">
        <f t="shared" si="584"/>
        <v>-445192.73265332356</v>
      </c>
      <c r="P275" s="25">
        <f t="shared" si="574"/>
        <v>492158.32341085264</v>
      </c>
      <c r="Q275" s="25">
        <f t="shared" si="574"/>
        <v>-282851.09860465111</v>
      </c>
      <c r="R275" s="677">
        <f t="shared" si="591"/>
        <v>2100245</v>
      </c>
      <c r="S275" s="127">
        <f t="shared" si="592"/>
        <v>20570</v>
      </c>
      <c r="T275" s="127">
        <f t="shared" si="596"/>
        <v>1418522.2143234741</v>
      </c>
      <c r="U275" s="127">
        <f t="shared" si="597"/>
        <v>776443.85114146117</v>
      </c>
      <c r="V275" s="88"/>
      <c r="W275" s="127">
        <f t="shared" si="586"/>
        <v>22701158</v>
      </c>
      <c r="X275" s="623">
        <f t="shared" si="593"/>
        <v>-1.716875308499104E-2</v>
      </c>
      <c r="Y275" s="127">
        <f t="shared" si="594"/>
        <v>3934110.6814000001</v>
      </c>
      <c r="DI275" s="6"/>
      <c r="DU275" s="55"/>
      <c r="GF275" s="6"/>
      <c r="GH275" s="180"/>
      <c r="GT275" s="6"/>
      <c r="GY275" s="53"/>
      <c r="GZ275" s="182"/>
    </row>
    <row r="276" spans="1:208">
      <c r="A276" s="676">
        <v>39017</v>
      </c>
      <c r="B276" s="677">
        <f t="shared" si="595"/>
        <v>1774220</v>
      </c>
      <c r="C276" s="26">
        <f t="shared" si="598"/>
        <v>-25329</v>
      </c>
      <c r="D276" s="127">
        <f t="shared" si="599"/>
        <v>657996</v>
      </c>
      <c r="E276" s="127">
        <f t="shared" si="600"/>
        <v>123844.16666666667</v>
      </c>
      <c r="F276" s="48">
        <f t="shared" si="578"/>
        <v>132981.83333333334</v>
      </c>
      <c r="G276" s="48">
        <f t="shared" si="579"/>
        <v>287853.57323043788</v>
      </c>
      <c r="H276" s="127">
        <f t="shared" si="601"/>
        <v>1486130</v>
      </c>
      <c r="I276" s="127">
        <f t="shared" si="602"/>
        <v>659978</v>
      </c>
      <c r="J276" s="127">
        <f t="shared" si="603"/>
        <v>826152</v>
      </c>
      <c r="K276" s="127"/>
      <c r="L276" s="127">
        <f t="shared" si="590"/>
        <v>287517</v>
      </c>
      <c r="M276" s="48">
        <f t="shared" si="582"/>
        <v>190824.4</v>
      </c>
      <c r="N276" s="61">
        <f t="shared" si="583"/>
        <v>708688.97979420912</v>
      </c>
      <c r="O276" s="48">
        <f t="shared" si="584"/>
        <v>-442725.31312754238</v>
      </c>
      <c r="P276" s="25">
        <f t="shared" si="574"/>
        <v>492158.32341085264</v>
      </c>
      <c r="Q276" s="25">
        <f t="shared" si="574"/>
        <v>-282851.09860465111</v>
      </c>
      <c r="R276" s="677">
        <f t="shared" si="591"/>
        <v>1774220</v>
      </c>
      <c r="S276" s="127">
        <f t="shared" si="592"/>
        <v>326025</v>
      </c>
      <c r="T276" s="127">
        <f t="shared" si="596"/>
        <v>1418522.2143234741</v>
      </c>
      <c r="U276" s="127">
        <f t="shared" si="597"/>
        <v>776443.85114146117</v>
      </c>
      <c r="V276" s="88"/>
      <c r="W276" s="127">
        <f t="shared" si="586"/>
        <v>22745205</v>
      </c>
      <c r="X276" s="623">
        <f t="shared" si="593"/>
        <v>2.6829974424963467E-2</v>
      </c>
      <c r="Y276" s="127">
        <f t="shared" si="594"/>
        <v>3941744.0265000002</v>
      </c>
      <c r="DI276" s="6"/>
      <c r="DU276" s="55"/>
      <c r="GF276" s="6"/>
      <c r="GH276" s="180"/>
      <c r="GT276" s="6"/>
      <c r="GY276" s="53"/>
      <c r="GZ276" s="182"/>
    </row>
    <row r="277" spans="1:208">
      <c r="A277" s="676">
        <v>39048</v>
      </c>
      <c r="B277" s="677">
        <f t="shared" si="595"/>
        <v>1784610</v>
      </c>
      <c r="C277" s="26">
        <f t="shared" si="598"/>
        <v>82905</v>
      </c>
      <c r="D277" s="127">
        <f t="shared" si="599"/>
        <v>319764</v>
      </c>
      <c r="E277" s="127">
        <f t="shared" si="600"/>
        <v>133153.5</v>
      </c>
      <c r="F277" s="48">
        <f t="shared" si="578"/>
        <v>135656.81666666668</v>
      </c>
      <c r="G277" s="48">
        <f t="shared" si="579"/>
        <v>286606.60078424821</v>
      </c>
      <c r="H277" s="127">
        <f t="shared" si="601"/>
        <v>1597842</v>
      </c>
      <c r="I277" s="127">
        <f t="shared" si="602"/>
        <v>626595</v>
      </c>
      <c r="J277" s="127">
        <f t="shared" si="603"/>
        <v>971247</v>
      </c>
      <c r="K277" s="127"/>
      <c r="L277" s="127">
        <f t="shared" si="590"/>
        <v>108234</v>
      </c>
      <c r="M277" s="48">
        <f t="shared" si="582"/>
        <v>192443.58333333334</v>
      </c>
      <c r="N277" s="61">
        <f t="shared" si="583"/>
        <v>708870.01823516306</v>
      </c>
      <c r="O277" s="48">
        <f t="shared" si="584"/>
        <v>-437556.38490182976</v>
      </c>
      <c r="P277" s="25">
        <f t="shared" si="574"/>
        <v>492158.32341085264</v>
      </c>
      <c r="Q277" s="25">
        <f t="shared" si="574"/>
        <v>-282851.09860465111</v>
      </c>
      <c r="R277" s="677">
        <f t="shared" si="591"/>
        <v>1784610</v>
      </c>
      <c r="S277" s="127">
        <f t="shared" si="592"/>
        <v>10390</v>
      </c>
      <c r="T277" s="127">
        <f t="shared" si="596"/>
        <v>1418522.2143234741</v>
      </c>
      <c r="U277" s="127">
        <f t="shared" si="597"/>
        <v>776443.85114146117</v>
      </c>
      <c r="V277" s="88"/>
      <c r="W277" s="127">
        <f t="shared" si="586"/>
        <v>22946844</v>
      </c>
      <c r="X277" s="623">
        <f t="shared" si="593"/>
        <v>5.5470413809126026E-2</v>
      </c>
      <c r="Y277" s="127">
        <f t="shared" si="594"/>
        <v>3976688.0652000001</v>
      </c>
      <c r="DI277" s="6"/>
      <c r="DU277" s="55"/>
      <c r="GF277" s="6"/>
      <c r="GH277" s="180"/>
      <c r="GT277" s="6"/>
      <c r="GY277" s="53"/>
      <c r="GZ277" s="182"/>
    </row>
    <row r="278" spans="1:208">
      <c r="A278" s="668">
        <v>39078</v>
      </c>
      <c r="B278" s="626">
        <f t="shared" si="595"/>
        <v>2312266</v>
      </c>
      <c r="C278" s="41">
        <f t="shared" si="598"/>
        <v>137712</v>
      </c>
      <c r="D278" s="121">
        <f t="shared" si="599"/>
        <v>195288</v>
      </c>
      <c r="E278" s="121">
        <f t="shared" si="600"/>
        <v>161429.41666666666</v>
      </c>
      <c r="F278" s="565">
        <f t="shared" si="578"/>
        <v>139976.51666666666</v>
      </c>
      <c r="G278" s="565">
        <f t="shared" si="579"/>
        <v>284611.76972866821</v>
      </c>
      <c r="H278" s="121">
        <f t="shared" si="601"/>
        <v>1937153</v>
      </c>
      <c r="I278" s="121">
        <f t="shared" si="602"/>
        <v>545774</v>
      </c>
      <c r="J278" s="121">
        <f t="shared" si="603"/>
        <v>1391379</v>
      </c>
      <c r="K278" s="121"/>
      <c r="L278" s="121">
        <f t="shared" si="590"/>
        <v>54807</v>
      </c>
      <c r="M278" s="565">
        <f t="shared" si="582"/>
        <v>192625.76666666666</v>
      </c>
      <c r="N278" s="116">
        <f t="shared" si="583"/>
        <v>709200.05612400314</v>
      </c>
      <c r="O278" s="565">
        <f t="shared" si="584"/>
        <v>-429247.02279066975</v>
      </c>
      <c r="P278" s="121">
        <f t="shared" si="574"/>
        <v>492158.32341085264</v>
      </c>
      <c r="Q278" s="121">
        <f t="shared" si="574"/>
        <v>-282851.09860465111</v>
      </c>
      <c r="R278" s="626">
        <f t="shared" si="591"/>
        <v>2312266</v>
      </c>
      <c r="S278" s="121">
        <f t="shared" si="592"/>
        <v>527656</v>
      </c>
      <c r="T278" s="121">
        <f t="shared" si="596"/>
        <v>1418522.2143234741</v>
      </c>
      <c r="U278" s="121">
        <f t="shared" si="597"/>
        <v>776443.85114146117</v>
      </c>
      <c r="V278" s="52"/>
      <c r="W278" s="121">
        <f t="shared" si="586"/>
        <v>23536046</v>
      </c>
      <c r="X278" s="567">
        <f t="shared" si="593"/>
        <v>0.11709295542225923</v>
      </c>
      <c r="Y278" s="121">
        <f t="shared" si="594"/>
        <v>4078796.7718000002</v>
      </c>
      <c r="DI278" s="6"/>
      <c r="DU278" s="55"/>
      <c r="GF278" s="6"/>
      <c r="GH278" s="180"/>
      <c r="GT278" s="6"/>
      <c r="GY278" s="53"/>
      <c r="GZ278" s="182"/>
    </row>
    <row r="279" spans="1:208">
      <c r="A279" s="231">
        <v>39109</v>
      </c>
      <c r="B279" s="677">
        <f>IF(CD3&gt;0,CD3,"")</f>
        <v>1360922</v>
      </c>
      <c r="C279" s="26">
        <f>IF(B279&lt;&gt;"",AY3,"")</f>
        <v>-39094</v>
      </c>
      <c r="D279" s="127">
        <f>IF(B279&lt;&gt;"",C279+C278+C277,"")</f>
        <v>181523</v>
      </c>
      <c r="E279" s="127">
        <f>IF(B279&lt;&gt;"",AVERAGE(C268:C279),"")</f>
        <v>189578.66666666666</v>
      </c>
      <c r="F279" s="48">
        <f t="shared" si="578"/>
        <v>140487.81666666668</v>
      </c>
      <c r="G279" s="48">
        <f t="shared" si="579"/>
        <v>284255.90740104159</v>
      </c>
      <c r="H279" s="127">
        <f>IF(B279&lt;&gt;"",SUM(C268:C279),"")</f>
        <v>2274944</v>
      </c>
      <c r="I279" s="127">
        <f>IF(B279&lt;&gt;"",H267,"")</f>
        <v>325446</v>
      </c>
      <c r="J279" s="127">
        <f>IF(B279&lt;&gt;"",H279-I279,"")</f>
        <v>1949498</v>
      </c>
      <c r="K279" s="127"/>
      <c r="L279" s="127">
        <f>((C278-C279)^2)^0.5</f>
        <v>176806</v>
      </c>
      <c r="M279" s="48">
        <f>IF(C279&lt;&gt;"",AVERAGE(L220:L279),"")</f>
        <v>194710.9</v>
      </c>
      <c r="N279" s="61">
        <f>IF(B279&lt;&gt;"",F279+$N$1*G279,"")</f>
        <v>708999.63146874984</v>
      </c>
      <c r="O279" s="48">
        <f>IF(B279&lt;&gt;"",F279-$N$1*G279,"")</f>
        <v>-428023.99813541654</v>
      </c>
      <c r="P279" s="25">
        <f t="shared" si="574"/>
        <v>492158.32341085264</v>
      </c>
      <c r="Q279" s="25">
        <f t="shared" si="574"/>
        <v>-282851.09860465111</v>
      </c>
      <c r="R279" s="677">
        <f>B279</f>
        <v>1360922</v>
      </c>
      <c r="S279" s="127">
        <f>IF(R279&lt;&gt;"",ABS(R278-R279)," ")</f>
        <v>951344</v>
      </c>
      <c r="T279" s="127">
        <f t="shared" si="596"/>
        <v>1418522.2143234741</v>
      </c>
      <c r="U279" s="127">
        <f t="shared" si="597"/>
        <v>776443.85114146117</v>
      </c>
      <c r="V279" s="88"/>
      <c r="W279" s="127">
        <f>IF($B279&lt;&gt;"",SUM(B268:B279),"")</f>
        <v>23828430</v>
      </c>
      <c r="X279" s="623">
        <f>IF(B279&lt;&gt;"",(W279-W267)/W267,"")</f>
        <v>0.14688624415442947</v>
      </c>
      <c r="Y279" s="127">
        <f>W279*0.1733</f>
        <v>4129466.9190000002</v>
      </c>
      <c r="DI279" s="6"/>
      <c r="DU279" s="55"/>
      <c r="GF279" s="6"/>
      <c r="GH279" s="180"/>
      <c r="GT279" s="6"/>
      <c r="GY279" s="53"/>
      <c r="GZ279" s="182"/>
    </row>
    <row r="280" spans="1:208">
      <c r="A280" s="231">
        <v>39140</v>
      </c>
      <c r="B280" s="677">
        <f t="shared" ref="B280:B290" si="604">IF(CD4&gt;0,CD4,"")</f>
        <v>1732312</v>
      </c>
      <c r="C280" s="26">
        <f t="shared" ref="C280:C290" si="605">IF(B280&lt;&gt;"",AY4,"")</f>
        <v>12074</v>
      </c>
      <c r="D280" s="127">
        <f>IF(B280&lt;&gt;"",C280+C279+C278,"")</f>
        <v>110692</v>
      </c>
      <c r="E280" s="127">
        <f>IF(B280&lt;&gt;"",AVERAGE(C269:C280),"")</f>
        <v>212610.83333333334</v>
      </c>
      <c r="F280" s="48">
        <f t="shared" si="578"/>
        <v>139362.61666666667</v>
      </c>
      <c r="G280" s="48">
        <f t="shared" si="579"/>
        <v>284634.43534262798</v>
      </c>
      <c r="H280" s="127">
        <f>IF(B280&lt;&gt;"",SUM(C269:C280),"")</f>
        <v>2551330</v>
      </c>
      <c r="I280" s="127">
        <f>IF(B280&lt;&gt;"",H268,"")</f>
        <v>-35128</v>
      </c>
      <c r="J280" s="127">
        <f>IF(B280&lt;&gt;"",H280-I280,"")</f>
        <v>2586458</v>
      </c>
      <c r="K280" s="25">
        <f>AVERAGE(C278+C279+C280)</f>
        <v>110692</v>
      </c>
      <c r="L280" s="127">
        <f>((C279-C280)^2)^0.5</f>
        <v>51168</v>
      </c>
      <c r="M280" s="48">
        <f>IF(C280&lt;&gt;"",AVERAGE(L221:L280),"")</f>
        <v>193074.4</v>
      </c>
      <c r="N280" s="61">
        <f>IF(B280&lt;&gt;"",F280+$N$1*G280,"")</f>
        <v>708631.48735192267</v>
      </c>
      <c r="O280" s="48">
        <f>IF(B280&lt;&gt;"",F280-$N$1*G280,"")</f>
        <v>-429906.25401858927</v>
      </c>
      <c r="P280" s="25">
        <f t="shared" si="574"/>
        <v>492158.32341085264</v>
      </c>
      <c r="Q280" s="25">
        <f t="shared" si="574"/>
        <v>-282851.09860465111</v>
      </c>
      <c r="R280" s="677">
        <f>B280</f>
        <v>1732312</v>
      </c>
      <c r="S280" s="127">
        <f>IF(R280&lt;&gt;"",ABS(R279-R280)," ")</f>
        <v>371390</v>
      </c>
      <c r="T280" s="127">
        <f t="shared" si="596"/>
        <v>1418522.2143234741</v>
      </c>
      <c r="U280" s="127">
        <f t="shared" si="597"/>
        <v>776443.85114146117</v>
      </c>
      <c r="V280" s="88"/>
      <c r="W280" s="127">
        <f>IF($B280&lt;&gt;"",SUM(B269:B280),"")</f>
        <v>24248624</v>
      </c>
      <c r="X280" s="623">
        <f>IF(B280&lt;&gt;"",(W280-W268)/W268,"")</f>
        <v>0.19120189758177206</v>
      </c>
      <c r="Y280" s="127">
        <f>W280*0.1733</f>
        <v>4202286.5392000005</v>
      </c>
      <c r="DI280" s="6"/>
      <c r="DU280" s="55"/>
      <c r="GF280" s="6"/>
      <c r="GH280" s="180"/>
      <c r="GT280" s="6"/>
      <c r="GY280" s="53"/>
      <c r="GZ280" s="182"/>
    </row>
    <row r="281" spans="1:208">
      <c r="A281" s="231">
        <v>39171</v>
      </c>
      <c r="B281" s="677">
        <f t="shared" si="604"/>
        <v>1941347</v>
      </c>
      <c r="C281" s="26">
        <f t="shared" si="605"/>
        <v>141549</v>
      </c>
      <c r="D281" s="127">
        <f t="shared" ref="D281:D289" si="606">IF(B281&lt;&gt;"",C281+C280+C279,"")</f>
        <v>114529</v>
      </c>
      <c r="E281" s="127">
        <f t="shared" ref="E281:E289" si="607">IF(B281&lt;&gt;"",AVERAGE(C270:C281),"")</f>
        <v>249339.25</v>
      </c>
      <c r="F281" s="48">
        <f t="shared" ref="F281:F289" si="608">IF(B281&lt;&gt;"",AVERAGE(C222:C281),"")</f>
        <v>141740.45000000001</v>
      </c>
      <c r="G281" s="48">
        <f t="shared" ref="G281:G289" si="609">IF(B281&lt;&gt;"",STDEV(C222:C281),"")</f>
        <v>284036.2483857146</v>
      </c>
      <c r="H281" s="127">
        <f t="shared" ref="H281:H289" si="610">IF(B281&lt;&gt;"",SUM(C270:C281),"")</f>
        <v>2992071</v>
      </c>
      <c r="I281" s="127">
        <f t="shared" ref="I281:I289" si="611">IF(B281&lt;&gt;"",H269,"")</f>
        <v>-699465</v>
      </c>
      <c r="J281" s="127">
        <f t="shared" ref="J281:J290" si="612">IF(B281&lt;&gt;"",H281-I281,"")</f>
        <v>3691536</v>
      </c>
      <c r="K281" s="127"/>
      <c r="L281" s="127">
        <f t="shared" ref="L281:L289" si="613">((C280-C281)^2)^0.5</f>
        <v>129475</v>
      </c>
      <c r="M281" s="48">
        <f t="shared" ref="M281:M289" si="614">IF(C281&lt;&gt;"",AVERAGE(L222:L281),"")</f>
        <v>193887.2</v>
      </c>
      <c r="N281" s="61">
        <f t="shared" ref="N281:N290" si="615">IF(B281&lt;&gt;"",F281+$N$1*G281,"")</f>
        <v>709812.94677142915</v>
      </c>
      <c r="O281" s="48">
        <f t="shared" ref="O281:O290" si="616">IF(B281&lt;&gt;"",F281-$N$1*G281,"")</f>
        <v>-426332.04677142919</v>
      </c>
      <c r="P281" s="25">
        <f t="shared" ref="P281:Q281" si="617">P475</f>
        <v>492158.32341085264</v>
      </c>
      <c r="Q281" s="25">
        <f t="shared" si="617"/>
        <v>-282851.09860465111</v>
      </c>
      <c r="R281" s="677">
        <f t="shared" ref="R281:R290" si="618">B281</f>
        <v>1941347</v>
      </c>
      <c r="S281" s="127">
        <f t="shared" ref="S281:S289" si="619">IF(R281&lt;&gt;"",ABS(R280-R281)," ")</f>
        <v>209035</v>
      </c>
      <c r="T281" s="127">
        <f t="shared" si="596"/>
        <v>1418522.2143234741</v>
      </c>
      <c r="U281" s="127">
        <f t="shared" si="597"/>
        <v>776443.85114146117</v>
      </c>
      <c r="V281" s="88"/>
      <c r="W281" s="127">
        <f t="shared" ref="W281:W289" si="620">IF($B281&lt;&gt;"",SUM(B270:B281),"")</f>
        <v>24740947</v>
      </c>
      <c r="X281" s="623">
        <f t="shared" ref="X281:X289" si="621">IF(B281&lt;&gt;"",(W281-W269)/W269,"")</f>
        <v>0.24550984207096699</v>
      </c>
      <c r="Y281" s="127">
        <f t="shared" ref="Y281:Y290" si="622">W281*0.1733</f>
        <v>4287606.1151000001</v>
      </c>
      <c r="DI281" s="6"/>
      <c r="DU281" s="55"/>
      <c r="GF281" s="6"/>
      <c r="GH281" s="180"/>
      <c r="GT281" s="6"/>
      <c r="GY281" s="53"/>
      <c r="GZ281" s="182"/>
    </row>
    <row r="282" spans="1:208">
      <c r="A282" s="231">
        <v>39201</v>
      </c>
      <c r="B282" s="677">
        <f t="shared" si="604"/>
        <v>1695114</v>
      </c>
      <c r="C282" s="26">
        <f t="shared" si="605"/>
        <v>266189</v>
      </c>
      <c r="D282" s="127">
        <f t="shared" si="606"/>
        <v>419812</v>
      </c>
      <c r="E282" s="127">
        <f t="shared" si="607"/>
        <v>221679.41666666666</v>
      </c>
      <c r="F282" s="48">
        <f t="shared" si="608"/>
        <v>146012.18333333332</v>
      </c>
      <c r="G282" s="48">
        <f t="shared" si="609"/>
        <v>283946.92608001211</v>
      </c>
      <c r="H282" s="127">
        <f t="shared" si="610"/>
        <v>2660153</v>
      </c>
      <c r="I282" s="127">
        <f t="shared" si="611"/>
        <v>-175345</v>
      </c>
      <c r="J282" s="127">
        <f t="shared" si="612"/>
        <v>2835498</v>
      </c>
      <c r="K282" s="127"/>
      <c r="L282" s="127">
        <f t="shared" si="613"/>
        <v>124640</v>
      </c>
      <c r="M282" s="48">
        <f t="shared" si="614"/>
        <v>195781.1</v>
      </c>
      <c r="N282" s="61">
        <f t="shared" si="615"/>
        <v>713906.03549335757</v>
      </c>
      <c r="O282" s="48">
        <f t="shared" si="616"/>
        <v>-421881.66882669087</v>
      </c>
      <c r="P282" s="25">
        <f t="shared" ref="P282:Q282" si="623">P476</f>
        <v>492158.32341085264</v>
      </c>
      <c r="Q282" s="25">
        <f t="shared" si="623"/>
        <v>-282851.09860465111</v>
      </c>
      <c r="R282" s="677">
        <f t="shared" si="618"/>
        <v>1695114</v>
      </c>
      <c r="S282" s="127">
        <f t="shared" si="619"/>
        <v>246233</v>
      </c>
      <c r="T282" s="127">
        <f t="shared" si="596"/>
        <v>1418522.2143234741</v>
      </c>
      <c r="U282" s="127">
        <f t="shared" si="597"/>
        <v>776443.85114146117</v>
      </c>
      <c r="V282" s="88"/>
      <c r="W282" s="127">
        <f t="shared" si="620"/>
        <v>23996569</v>
      </c>
      <c r="X282" s="623">
        <f t="shared" si="621"/>
        <v>0.16440209835849207</v>
      </c>
      <c r="Y282" s="127">
        <f t="shared" si="622"/>
        <v>4158605.4077000003</v>
      </c>
      <c r="DI282" s="6"/>
      <c r="DU282" s="55"/>
      <c r="GF282" s="6"/>
      <c r="GH282" s="180"/>
      <c r="GT282" s="6"/>
      <c r="GY282" s="53"/>
      <c r="GZ282" s="182"/>
    </row>
    <row r="283" spans="1:208">
      <c r="A283" s="231">
        <v>39232</v>
      </c>
      <c r="B283" s="677">
        <f t="shared" si="604"/>
        <v>1645165</v>
      </c>
      <c r="C283" s="26">
        <f t="shared" si="605"/>
        <v>559632</v>
      </c>
      <c r="D283" s="127">
        <f t="shared" si="606"/>
        <v>967370</v>
      </c>
      <c r="E283" s="127">
        <f t="shared" si="607"/>
        <v>218411</v>
      </c>
      <c r="F283" s="48">
        <f t="shared" si="608"/>
        <v>151710.79999999999</v>
      </c>
      <c r="G283" s="48">
        <f t="shared" si="609"/>
        <v>288799.8884305855</v>
      </c>
      <c r="H283" s="127">
        <f t="shared" si="610"/>
        <v>2620932</v>
      </c>
      <c r="I283" s="127">
        <f t="shared" si="611"/>
        <v>643482</v>
      </c>
      <c r="J283" s="127">
        <f t="shared" si="612"/>
        <v>1977450</v>
      </c>
      <c r="K283" s="127"/>
      <c r="L283" s="127">
        <f t="shared" si="613"/>
        <v>293443</v>
      </c>
      <c r="M283" s="48">
        <f t="shared" si="614"/>
        <v>197207.98333333334</v>
      </c>
      <c r="N283" s="61">
        <f t="shared" si="615"/>
        <v>729310.57686117105</v>
      </c>
      <c r="O283" s="48">
        <f t="shared" si="616"/>
        <v>-425888.97686117102</v>
      </c>
      <c r="P283" s="25">
        <f t="shared" ref="P283:Q283" si="624">P477</f>
        <v>492158.32341085264</v>
      </c>
      <c r="Q283" s="25">
        <f t="shared" si="624"/>
        <v>-282851.09860465111</v>
      </c>
      <c r="R283" s="677">
        <f t="shared" si="618"/>
        <v>1645165</v>
      </c>
      <c r="S283" s="127">
        <f t="shared" si="619"/>
        <v>49949</v>
      </c>
      <c r="T283" s="127">
        <f t="shared" si="596"/>
        <v>1418522.2143234741</v>
      </c>
      <c r="U283" s="127">
        <f t="shared" si="597"/>
        <v>776443.85114146117</v>
      </c>
      <c r="V283" s="88"/>
      <c r="W283" s="127">
        <f t="shared" si="620"/>
        <v>23070247</v>
      </c>
      <c r="X283" s="623">
        <f t="shared" si="621"/>
        <v>7.1300134869995618E-2</v>
      </c>
      <c r="Y283" s="127">
        <f t="shared" si="622"/>
        <v>3998073.8051</v>
      </c>
      <c r="DI283" s="6"/>
      <c r="DU283" s="55"/>
      <c r="GF283" s="6"/>
      <c r="GH283" s="180"/>
      <c r="GT283" s="6"/>
      <c r="GY283" s="53"/>
      <c r="GZ283" s="182"/>
    </row>
    <row r="284" spans="1:208">
      <c r="A284" s="231">
        <v>39262</v>
      </c>
      <c r="B284" s="677">
        <f t="shared" si="604"/>
        <v>1895115</v>
      </c>
      <c r="C284" s="26">
        <f t="shared" si="605"/>
        <v>425432</v>
      </c>
      <c r="D284" s="127">
        <f t="shared" si="606"/>
        <v>1251253</v>
      </c>
      <c r="E284" s="127">
        <f t="shared" si="607"/>
        <v>195556.66666666666</v>
      </c>
      <c r="F284" s="48">
        <f t="shared" si="608"/>
        <v>159238.73333333334</v>
      </c>
      <c r="G284" s="48">
        <f t="shared" si="609"/>
        <v>289967.0453386663</v>
      </c>
      <c r="H284" s="127">
        <f t="shared" si="610"/>
        <v>2346680</v>
      </c>
      <c r="I284" s="127">
        <f t="shared" si="611"/>
        <v>1198064</v>
      </c>
      <c r="J284" s="127">
        <f t="shared" si="612"/>
        <v>1148616</v>
      </c>
      <c r="K284" s="127"/>
      <c r="L284" s="127">
        <f t="shared" si="613"/>
        <v>134200</v>
      </c>
      <c r="M284" s="48">
        <f t="shared" si="614"/>
        <v>195378.66666666666</v>
      </c>
      <c r="N284" s="61">
        <f t="shared" si="615"/>
        <v>739172.82401066599</v>
      </c>
      <c r="O284" s="48">
        <f t="shared" si="616"/>
        <v>-420695.35734399926</v>
      </c>
      <c r="P284" s="25">
        <f t="shared" ref="P284:Q284" si="625">P478</f>
        <v>492158.32341085264</v>
      </c>
      <c r="Q284" s="25">
        <f t="shared" si="625"/>
        <v>-282851.09860465111</v>
      </c>
      <c r="R284" s="677">
        <f t="shared" si="618"/>
        <v>1895115</v>
      </c>
      <c r="S284" s="127">
        <f t="shared" si="619"/>
        <v>249950</v>
      </c>
      <c r="T284" s="127">
        <f t="shared" si="596"/>
        <v>1418522.2143234741</v>
      </c>
      <c r="U284" s="127">
        <f t="shared" si="597"/>
        <v>776443.85114146117</v>
      </c>
      <c r="V284" s="88"/>
      <c r="W284" s="127">
        <f t="shared" si="620"/>
        <v>22374075</v>
      </c>
      <c r="X284" s="623">
        <f t="shared" si="621"/>
        <v>6.4365571942294596E-3</v>
      </c>
      <c r="Y284" s="127">
        <f t="shared" si="622"/>
        <v>3877427.1975000002</v>
      </c>
      <c r="DI284" s="6"/>
      <c r="DU284" s="55"/>
      <c r="GF284" s="6"/>
      <c r="GH284" s="180"/>
      <c r="GT284" s="6"/>
      <c r="GY284" s="53"/>
      <c r="GZ284" s="182"/>
    </row>
    <row r="285" spans="1:208">
      <c r="A285" s="231">
        <v>39293</v>
      </c>
      <c r="B285" s="677">
        <f t="shared" si="604"/>
        <v>1866935</v>
      </c>
      <c r="C285" s="26">
        <f t="shared" si="605"/>
        <v>156597</v>
      </c>
      <c r="D285" s="127">
        <f t="shared" si="606"/>
        <v>1141661</v>
      </c>
      <c r="E285" s="127">
        <f t="shared" si="607"/>
        <v>200082.66666666666</v>
      </c>
      <c r="F285" s="48">
        <f t="shared" si="608"/>
        <v>163686.81666666668</v>
      </c>
      <c r="G285" s="48">
        <f t="shared" si="609"/>
        <v>287801.35415097565</v>
      </c>
      <c r="H285" s="127">
        <f t="shared" si="610"/>
        <v>2400992</v>
      </c>
      <c r="I285" s="127">
        <f t="shared" si="611"/>
        <v>1160332</v>
      </c>
      <c r="J285" s="127">
        <f t="shared" si="612"/>
        <v>1240660</v>
      </c>
      <c r="K285" s="127"/>
      <c r="L285" s="127">
        <f t="shared" si="613"/>
        <v>268835</v>
      </c>
      <c r="M285" s="48">
        <f t="shared" si="614"/>
        <v>198458.51666666666</v>
      </c>
      <c r="N285" s="61">
        <f t="shared" si="615"/>
        <v>739289.52496861794</v>
      </c>
      <c r="O285" s="48">
        <f t="shared" si="616"/>
        <v>-411915.89163528464</v>
      </c>
      <c r="P285" s="25">
        <f t="shared" ref="P285:Q285" si="626">P479</f>
        <v>492158.32341085264</v>
      </c>
      <c r="Q285" s="25">
        <f t="shared" si="626"/>
        <v>-282851.09860465111</v>
      </c>
      <c r="R285" s="677">
        <f t="shared" si="618"/>
        <v>1866935</v>
      </c>
      <c r="S285" s="127">
        <f t="shared" si="619"/>
        <v>28180</v>
      </c>
      <c r="T285" s="127">
        <f t="shared" si="596"/>
        <v>1418522.2143234741</v>
      </c>
      <c r="U285" s="127">
        <f t="shared" si="597"/>
        <v>776443.85114146117</v>
      </c>
      <c r="V285" s="88"/>
      <c r="W285" s="127">
        <f t="shared" si="620"/>
        <v>22187926</v>
      </c>
      <c r="X285" s="623">
        <f t="shared" si="621"/>
        <v>-1.0224634880829765E-2</v>
      </c>
      <c r="Y285" s="127">
        <f t="shared" si="622"/>
        <v>3845167.5758000002</v>
      </c>
      <c r="DI285" s="6"/>
      <c r="DU285" s="55"/>
      <c r="GF285" s="6"/>
      <c r="GH285" s="180"/>
      <c r="GT285" s="6"/>
      <c r="GY285" s="53"/>
      <c r="GZ285" s="182"/>
    </row>
    <row r="286" spans="1:208">
      <c r="A286" s="231">
        <v>39324</v>
      </c>
      <c r="B286" s="677">
        <f t="shared" si="604"/>
        <v>2111874</v>
      </c>
      <c r="C286" s="26">
        <f t="shared" si="605"/>
        <v>598697</v>
      </c>
      <c r="D286" s="127">
        <f t="shared" si="606"/>
        <v>1180726</v>
      </c>
      <c r="E286" s="127">
        <f t="shared" si="607"/>
        <v>214879.33333333334</v>
      </c>
      <c r="F286" s="48">
        <f t="shared" si="608"/>
        <v>175371.06666666668</v>
      </c>
      <c r="G286" s="48">
        <f t="shared" si="609"/>
        <v>291030.03109242267</v>
      </c>
      <c r="H286" s="127">
        <f t="shared" si="610"/>
        <v>2578552</v>
      </c>
      <c r="I286" s="127">
        <f t="shared" si="611"/>
        <v>1147587</v>
      </c>
      <c r="J286" s="127">
        <f t="shared" si="612"/>
        <v>1430965</v>
      </c>
      <c r="K286" s="127"/>
      <c r="L286" s="127">
        <f t="shared" si="613"/>
        <v>442100</v>
      </c>
      <c r="M286" s="48">
        <f t="shared" si="614"/>
        <v>205694.68333333332</v>
      </c>
      <c r="N286" s="61">
        <f t="shared" si="615"/>
        <v>757431.12885151198</v>
      </c>
      <c r="O286" s="48">
        <f t="shared" si="616"/>
        <v>-406688.99551817868</v>
      </c>
      <c r="P286" s="25">
        <f t="shared" ref="P286:Q286" si="627">P480</f>
        <v>492158.32341085264</v>
      </c>
      <c r="Q286" s="25">
        <f t="shared" si="627"/>
        <v>-282851.09860465111</v>
      </c>
      <c r="R286" s="677">
        <f t="shared" si="618"/>
        <v>2111874</v>
      </c>
      <c r="S286" s="127">
        <f t="shared" si="619"/>
        <v>244939</v>
      </c>
      <c r="T286" s="127">
        <f t="shared" si="596"/>
        <v>1418522.2143234741</v>
      </c>
      <c r="U286" s="127">
        <f t="shared" si="597"/>
        <v>776443.85114146117</v>
      </c>
      <c r="V286" s="88"/>
      <c r="W286" s="127">
        <f t="shared" si="620"/>
        <v>22220125</v>
      </c>
      <c r="X286" s="623">
        <f t="shared" si="621"/>
        <v>-7.3624965791724024E-3</v>
      </c>
      <c r="Y286" s="127">
        <f t="shared" si="622"/>
        <v>3850747.6625000001</v>
      </c>
      <c r="DI286" s="6"/>
      <c r="DU286" s="55"/>
      <c r="GF286" s="6"/>
      <c r="GH286" s="180"/>
      <c r="GT286" s="6"/>
      <c r="GY286" s="53"/>
      <c r="GZ286" s="182"/>
    </row>
    <row r="287" spans="1:208">
      <c r="A287" s="231">
        <v>39354</v>
      </c>
      <c r="B287" s="677">
        <f t="shared" si="604"/>
        <v>1784021</v>
      </c>
      <c r="C287" s="26">
        <f t="shared" si="605"/>
        <v>241276</v>
      </c>
      <c r="D287" s="127">
        <f t="shared" si="606"/>
        <v>996570</v>
      </c>
      <c r="E287" s="127">
        <f t="shared" si="607"/>
        <v>213136.66666666666</v>
      </c>
      <c r="F287" s="48">
        <f t="shared" si="608"/>
        <v>180074.8</v>
      </c>
      <c r="G287" s="48">
        <f t="shared" si="609"/>
        <v>289752.44477872393</v>
      </c>
      <c r="H287" s="127">
        <f t="shared" si="610"/>
        <v>2557640</v>
      </c>
      <c r="I287" s="127">
        <f t="shared" si="611"/>
        <v>1409881</v>
      </c>
      <c r="J287" s="127">
        <f t="shared" si="612"/>
        <v>1147759</v>
      </c>
      <c r="K287" s="127"/>
      <c r="L287" s="127">
        <f t="shared" si="613"/>
        <v>357421</v>
      </c>
      <c r="M287" s="48">
        <f t="shared" si="614"/>
        <v>210628.2</v>
      </c>
      <c r="N287" s="61">
        <f t="shared" si="615"/>
        <v>759579.6895574478</v>
      </c>
      <c r="O287" s="48">
        <f t="shared" si="616"/>
        <v>-399430.08955744788</v>
      </c>
      <c r="P287" s="25">
        <f t="shared" ref="P287:Q287" si="628">P481</f>
        <v>492158.32341085264</v>
      </c>
      <c r="Q287" s="25">
        <f t="shared" si="628"/>
        <v>-282851.09860465111</v>
      </c>
      <c r="R287" s="677">
        <f t="shared" si="618"/>
        <v>1784021</v>
      </c>
      <c r="S287" s="127">
        <f t="shared" si="619"/>
        <v>327853</v>
      </c>
      <c r="T287" s="127">
        <f t="shared" si="596"/>
        <v>1418522.2143234741</v>
      </c>
      <c r="U287" s="127">
        <f t="shared" si="597"/>
        <v>776443.85114146117</v>
      </c>
      <c r="V287" s="88"/>
      <c r="W287" s="127">
        <f t="shared" si="620"/>
        <v>21903901</v>
      </c>
      <c r="X287" s="623">
        <f t="shared" si="621"/>
        <v>-3.5119662177585831E-2</v>
      </c>
      <c r="Y287" s="127">
        <f t="shared" si="622"/>
        <v>3795946.0433</v>
      </c>
      <c r="DI287" s="6"/>
      <c r="DU287" s="55"/>
      <c r="GF287" s="6"/>
      <c r="GH287" s="180"/>
      <c r="GT287" s="6"/>
      <c r="GY287" s="53"/>
      <c r="GZ287" s="182"/>
    </row>
    <row r="288" spans="1:208">
      <c r="A288" s="231">
        <v>39385</v>
      </c>
      <c r="B288" s="677">
        <f t="shared" si="604"/>
        <v>1730173</v>
      </c>
      <c r="C288" s="26">
        <f t="shared" si="605"/>
        <v>128161</v>
      </c>
      <c r="D288" s="127">
        <f t="shared" si="606"/>
        <v>968134</v>
      </c>
      <c r="E288" s="127">
        <f t="shared" si="607"/>
        <v>225927.5</v>
      </c>
      <c r="F288" s="48">
        <f t="shared" si="608"/>
        <v>180504.98333333334</v>
      </c>
      <c r="G288" s="48">
        <f t="shared" si="609"/>
        <v>289654.23778942472</v>
      </c>
      <c r="H288" s="127">
        <f t="shared" si="610"/>
        <v>2711130</v>
      </c>
      <c r="I288" s="127">
        <f t="shared" si="611"/>
        <v>1486130</v>
      </c>
      <c r="J288" s="127">
        <f t="shared" si="612"/>
        <v>1225000</v>
      </c>
      <c r="K288" s="127"/>
      <c r="L288" s="127">
        <f t="shared" si="613"/>
        <v>113115</v>
      </c>
      <c r="M288" s="48">
        <f t="shared" si="614"/>
        <v>210125.15</v>
      </c>
      <c r="N288" s="61">
        <f t="shared" si="615"/>
        <v>759813.45891218283</v>
      </c>
      <c r="O288" s="48">
        <f t="shared" si="616"/>
        <v>-398803.4922455161</v>
      </c>
      <c r="P288" s="25">
        <f t="shared" ref="P288:Q288" si="629">P482</f>
        <v>492158.32341085264</v>
      </c>
      <c r="Q288" s="25">
        <f t="shared" si="629"/>
        <v>-282851.09860465111</v>
      </c>
      <c r="R288" s="677">
        <f t="shared" si="618"/>
        <v>1730173</v>
      </c>
      <c r="S288" s="127">
        <f t="shared" si="619"/>
        <v>53848</v>
      </c>
      <c r="T288" s="127">
        <f t="shared" si="596"/>
        <v>1418522.2143234741</v>
      </c>
      <c r="U288" s="127">
        <f t="shared" si="597"/>
        <v>776443.85114146117</v>
      </c>
      <c r="V288" s="88"/>
      <c r="W288" s="127">
        <f t="shared" si="620"/>
        <v>21859854</v>
      </c>
      <c r="X288" s="623">
        <f t="shared" si="621"/>
        <v>-3.8924731608266448E-2</v>
      </c>
      <c r="Y288" s="127">
        <f t="shared" si="622"/>
        <v>3788312.6982</v>
      </c>
      <c r="DI288" s="6"/>
      <c r="DU288" s="55"/>
      <c r="GF288" s="6"/>
      <c r="GH288" s="180"/>
      <c r="GT288" s="6"/>
      <c r="GY288" s="53"/>
      <c r="GZ288" s="182"/>
    </row>
    <row r="289" spans="1:208" ht="12" customHeight="1">
      <c r="A289" s="231">
        <v>39415</v>
      </c>
      <c r="B289" s="677">
        <f t="shared" si="604"/>
        <v>1582971</v>
      </c>
      <c r="C289" s="26">
        <f t="shared" si="605"/>
        <v>133417</v>
      </c>
      <c r="D289" s="127">
        <f t="shared" si="606"/>
        <v>502854</v>
      </c>
      <c r="E289" s="127">
        <f t="shared" si="607"/>
        <v>230136.83333333334</v>
      </c>
      <c r="F289" s="48">
        <f t="shared" si="608"/>
        <v>178915.63333333333</v>
      </c>
      <c r="G289" s="48">
        <f t="shared" si="609"/>
        <v>289646.49707273755</v>
      </c>
      <c r="H289" s="127">
        <f t="shared" si="610"/>
        <v>2761642</v>
      </c>
      <c r="I289" s="127">
        <f t="shared" si="611"/>
        <v>1597842</v>
      </c>
      <c r="J289" s="127">
        <f t="shared" si="612"/>
        <v>1163800</v>
      </c>
      <c r="K289" s="127"/>
      <c r="L289" s="127">
        <f t="shared" si="613"/>
        <v>5256</v>
      </c>
      <c r="M289" s="48">
        <f t="shared" si="614"/>
        <v>208105.61666666667</v>
      </c>
      <c r="N289" s="61">
        <f t="shared" si="615"/>
        <v>758208.6274788084</v>
      </c>
      <c r="O289" s="48">
        <f t="shared" si="616"/>
        <v>-400377.36081214179</v>
      </c>
      <c r="P289" s="25">
        <f t="shared" ref="P289:Q289" si="630">P483</f>
        <v>492158.32341085264</v>
      </c>
      <c r="Q289" s="25">
        <f t="shared" si="630"/>
        <v>-282851.09860465111</v>
      </c>
      <c r="R289" s="677">
        <f t="shared" si="618"/>
        <v>1582971</v>
      </c>
      <c r="S289" s="127">
        <f t="shared" si="619"/>
        <v>147202</v>
      </c>
      <c r="T289" s="127">
        <f t="shared" si="596"/>
        <v>1418522.2143234741</v>
      </c>
      <c r="U289" s="127">
        <f t="shared" si="597"/>
        <v>776443.85114146117</v>
      </c>
      <c r="V289" s="88"/>
      <c r="W289" s="127">
        <f t="shared" si="620"/>
        <v>21658215</v>
      </c>
      <c r="X289" s="623">
        <f t="shared" si="621"/>
        <v>-5.6157134288270752E-2</v>
      </c>
      <c r="Y289" s="127">
        <f t="shared" si="622"/>
        <v>3753368.6595000001</v>
      </c>
      <c r="DI289" s="6"/>
      <c r="DU289" s="55"/>
      <c r="GF289" s="6"/>
      <c r="GH289" s="180"/>
      <c r="GT289" s="6"/>
      <c r="GY289" s="53"/>
      <c r="GZ289" s="182"/>
    </row>
    <row r="290" spans="1:208" ht="12" customHeight="1">
      <c r="A290" s="668">
        <v>39446</v>
      </c>
      <c r="B290" s="677">
        <f t="shared" si="604"/>
        <v>1723064</v>
      </c>
      <c r="C290" s="26">
        <f t="shared" si="605"/>
        <v>-678217</v>
      </c>
      <c r="D290" s="121">
        <f>IF(B290&lt;&gt;"",C290+C289+C288,"")</f>
        <v>-416639</v>
      </c>
      <c r="E290" s="121">
        <f>IF(B290&lt;&gt;"",AVERAGE(C279:C290),"")</f>
        <v>162142.75</v>
      </c>
      <c r="F290" s="48">
        <f>IF(B290&lt;&gt;"",AVERAGE(C231:C290),"")</f>
        <v>171131.66666666666</v>
      </c>
      <c r="G290" s="48">
        <f>IF(B290&lt;&gt;"",STDEV(C231:C290),"")</f>
        <v>306115.01169368677</v>
      </c>
      <c r="H290" s="121">
        <f>IF(B290&lt;&gt;"",SUM(C279:C290),"")</f>
        <v>1945713</v>
      </c>
      <c r="I290" s="121">
        <f>IF(B290&lt;&gt;"",H278,"")</f>
        <v>1937153</v>
      </c>
      <c r="J290" s="121">
        <f t="shared" si="612"/>
        <v>8560</v>
      </c>
      <c r="K290" s="121"/>
      <c r="L290" s="121">
        <f>((C289-C290)^2)^0.5</f>
        <v>811634</v>
      </c>
      <c r="M290" s="48">
        <f>IF(C290&lt;&gt;"",AVERAGE(L231:L290),"")</f>
        <v>214300.23333333334</v>
      </c>
      <c r="N290" s="61">
        <f t="shared" si="615"/>
        <v>783361.69005404017</v>
      </c>
      <c r="O290" s="48">
        <f t="shared" si="616"/>
        <v>-441098.35672070691</v>
      </c>
      <c r="P290" s="25">
        <f t="shared" ref="P290:Q290" si="631">P484</f>
        <v>492158.32341085264</v>
      </c>
      <c r="Q290" s="25">
        <f t="shared" si="631"/>
        <v>-282851.09860465111</v>
      </c>
      <c r="R290" s="677">
        <f t="shared" si="618"/>
        <v>1723064</v>
      </c>
      <c r="S290" s="121">
        <f>IF(R290&lt;&gt;"",ABS(R289-R290)," ")</f>
        <v>140093</v>
      </c>
      <c r="T290" s="121">
        <f t="shared" si="596"/>
        <v>1418522.2143234741</v>
      </c>
      <c r="U290" s="121">
        <f t="shared" si="597"/>
        <v>776443.85114146117</v>
      </c>
      <c r="V290" s="52"/>
      <c r="W290" s="121">
        <f>IF($B290&lt;&gt;"",SUM(B279:B290),"")</f>
        <v>21069013</v>
      </c>
      <c r="X290" s="567">
        <f>IF(B290&lt;&gt;"",(W290-W278)/W278,"")</f>
        <v>-0.10481934816068936</v>
      </c>
      <c r="Y290" s="121">
        <f t="shared" si="622"/>
        <v>3651259.9529000004</v>
      </c>
      <c r="DI290" s="6"/>
      <c r="DU290" s="55"/>
      <c r="GF290" s="6"/>
      <c r="GH290" s="180"/>
      <c r="GT290" s="6"/>
      <c r="GY290" s="53"/>
      <c r="GZ290" s="182"/>
    </row>
    <row r="291" spans="1:208" ht="12" customHeight="1">
      <c r="A291" s="231">
        <v>39477</v>
      </c>
      <c r="B291" s="677">
        <f>IF(CE3&gt;0,CE3,"")</f>
        <v>1068538</v>
      </c>
      <c r="C291" s="26">
        <f>IF(B291&lt;&gt;"",AZ3,"")</f>
        <v>-270510</v>
      </c>
      <c r="D291" s="127">
        <f t="shared" ref="D291:D314" si="632">IF(B291&lt;&gt;"",C291+C290+C289,"")</f>
        <v>-815310</v>
      </c>
      <c r="E291" s="127">
        <f t="shared" ref="E291:E314" si="633">IF(B291&lt;&gt;"",AVERAGE(C280:C291),"")</f>
        <v>142858.08333333334</v>
      </c>
      <c r="F291" s="48">
        <f t="shared" ref="F291:F314" si="634">IF(B291&lt;&gt;"",AVERAGE(C232:C291),"")</f>
        <v>170422.66666666666</v>
      </c>
      <c r="G291" s="48">
        <f t="shared" ref="G291:G314" si="635">IF(B291&lt;&gt;"",STDEV(C232:C291),"")</f>
        <v>307102.71795676014</v>
      </c>
      <c r="H291" s="127">
        <f t="shared" ref="H291:H314" si="636">IF(B291&lt;&gt;"",SUM(C280:C291),"")</f>
        <v>1714297</v>
      </c>
      <c r="I291" s="127">
        <f t="shared" ref="I291:I314" si="637">IF(B291&lt;&gt;"",H279,"")</f>
        <v>2274944</v>
      </c>
      <c r="J291" s="127">
        <f t="shared" ref="J291:J314" si="638">IF(B291&lt;&gt;"",H291-I291,"")</f>
        <v>-560647</v>
      </c>
      <c r="K291" s="127"/>
      <c r="L291" s="127">
        <f t="shared" ref="L291:L314" si="639">((C290-C291)^2)^0.5</f>
        <v>407707</v>
      </c>
      <c r="M291" s="48">
        <f t="shared" ref="M291:M314" si="640">IF(C291&lt;&gt;"",AVERAGE(L232:L291),"")</f>
        <v>220815.5</v>
      </c>
      <c r="N291" s="61">
        <f t="shared" ref="N291:N314" si="641">IF(B291&lt;&gt;"",F291+$N$1*G291,"")</f>
        <v>784628.10258018691</v>
      </c>
      <c r="O291" s="48">
        <f t="shared" ref="O291:O314" si="642">IF(B291&lt;&gt;"",F291-$N$1*G291,"")</f>
        <v>-443782.76924685366</v>
      </c>
      <c r="P291" s="25">
        <f t="shared" ref="P291:Q291" si="643">P485</f>
        <v>492158.32341085264</v>
      </c>
      <c r="Q291" s="25">
        <f t="shared" si="643"/>
        <v>-282851.09860465111</v>
      </c>
      <c r="R291" s="677">
        <f t="shared" ref="R291:R314" si="644">B291</f>
        <v>1068538</v>
      </c>
      <c r="S291" s="127">
        <f t="shared" ref="S291:S314" si="645">IF(R291&lt;&gt;"",ABS(R290-R291)," ")</f>
        <v>654526</v>
      </c>
      <c r="T291" s="127">
        <f t="shared" si="596"/>
        <v>1418522.2143234741</v>
      </c>
      <c r="U291" s="127">
        <f t="shared" si="597"/>
        <v>776443.85114146117</v>
      </c>
      <c r="V291" s="88"/>
      <c r="W291" s="127">
        <f t="shared" ref="W291:W314" si="646">IF($B291&lt;&gt;"",SUM(B280:B291),"")</f>
        <v>20776629</v>
      </c>
      <c r="X291" s="623">
        <f t="shared" ref="X291:X314" si="647">IF(B291&lt;&gt;"",(W291-W279)/W279,"")</f>
        <v>-0.12807394360434154</v>
      </c>
      <c r="Y291" s="127">
        <f t="shared" ref="Y291:Y314" si="648">W291*0.1733</f>
        <v>3600589.8057000004</v>
      </c>
      <c r="DI291" s="6"/>
      <c r="DU291" s="55"/>
      <c r="GF291" s="6"/>
      <c r="GH291" s="180"/>
      <c r="GT291" s="6"/>
      <c r="GY291" s="53"/>
      <c r="GZ291" s="182"/>
    </row>
    <row r="292" spans="1:208" ht="12" customHeight="1">
      <c r="A292" s="231">
        <v>39506</v>
      </c>
      <c r="B292" s="677">
        <f t="shared" ref="B292:B302" si="649">IF(CE4&gt;0,CE4,"")</f>
        <v>1312118</v>
      </c>
      <c r="C292" s="26">
        <f t="shared" ref="C292:C302" si="650">IF(B292&lt;&gt;"",AZ4,"")</f>
        <v>-260145</v>
      </c>
      <c r="D292" s="127">
        <f t="shared" si="632"/>
        <v>-1208872</v>
      </c>
      <c r="E292" s="127">
        <f t="shared" si="633"/>
        <v>120173.16666666667</v>
      </c>
      <c r="F292" s="48">
        <f t="shared" si="634"/>
        <v>170566.75</v>
      </c>
      <c r="G292" s="48">
        <f t="shared" si="635"/>
        <v>306895.11780519621</v>
      </c>
      <c r="H292" s="127">
        <f t="shared" si="636"/>
        <v>1442078</v>
      </c>
      <c r="I292" s="127">
        <f t="shared" si="637"/>
        <v>2551330</v>
      </c>
      <c r="J292" s="127">
        <f t="shared" si="638"/>
        <v>-1109252</v>
      </c>
      <c r="K292" s="25"/>
      <c r="L292" s="127">
        <f t="shared" si="639"/>
        <v>10365</v>
      </c>
      <c r="M292" s="48">
        <f t="shared" si="640"/>
        <v>220307.91666666666</v>
      </c>
      <c r="N292" s="61">
        <f t="shared" si="641"/>
        <v>784356.98561039241</v>
      </c>
      <c r="O292" s="48">
        <f t="shared" si="642"/>
        <v>-443223.48561039241</v>
      </c>
      <c r="P292" s="25">
        <f t="shared" ref="P292:Q292" si="651">P486</f>
        <v>492158.32341085264</v>
      </c>
      <c r="Q292" s="25">
        <f t="shared" si="651"/>
        <v>-282851.09860465111</v>
      </c>
      <c r="R292" s="677">
        <f t="shared" si="644"/>
        <v>1312118</v>
      </c>
      <c r="S292" s="127">
        <f t="shared" si="645"/>
        <v>243580</v>
      </c>
      <c r="T292" s="127">
        <f t="shared" si="596"/>
        <v>1418522.2143234741</v>
      </c>
      <c r="U292" s="127">
        <f t="shared" si="597"/>
        <v>776443.85114146117</v>
      </c>
      <c r="V292" s="88"/>
      <c r="W292" s="127">
        <f t="shared" si="646"/>
        <v>20356435</v>
      </c>
      <c r="X292" s="623">
        <f t="shared" si="647"/>
        <v>-0.1605117469758284</v>
      </c>
      <c r="Y292" s="127">
        <f t="shared" si="648"/>
        <v>3527770.1855000001</v>
      </c>
      <c r="DI292" s="6"/>
      <c r="DU292" s="55"/>
      <c r="GF292" s="6"/>
      <c r="GH292" s="180"/>
      <c r="GT292" s="6"/>
      <c r="GY292" s="53"/>
      <c r="GZ292" s="182"/>
    </row>
    <row r="293" spans="1:208" ht="12" customHeight="1">
      <c r="A293" s="231">
        <v>39537</v>
      </c>
      <c r="B293" s="677">
        <f t="shared" si="649"/>
        <v>1449024</v>
      </c>
      <c r="C293" s="26">
        <f t="shared" si="650"/>
        <v>-347547</v>
      </c>
      <c r="D293" s="127">
        <f t="shared" si="632"/>
        <v>-878202</v>
      </c>
      <c r="E293" s="127">
        <f t="shared" si="633"/>
        <v>79415.166666666672</v>
      </c>
      <c r="F293" s="48">
        <f t="shared" si="634"/>
        <v>164336.18333333332</v>
      </c>
      <c r="G293" s="48">
        <f t="shared" si="635"/>
        <v>313595.55623816123</v>
      </c>
      <c r="H293" s="127">
        <f t="shared" si="636"/>
        <v>952982</v>
      </c>
      <c r="I293" s="127">
        <f t="shared" si="637"/>
        <v>2992071</v>
      </c>
      <c r="J293" s="127">
        <f t="shared" si="638"/>
        <v>-2039089</v>
      </c>
      <c r="K293" s="127"/>
      <c r="L293" s="127">
        <f t="shared" si="639"/>
        <v>87402</v>
      </c>
      <c r="M293" s="48">
        <f t="shared" si="640"/>
        <v>216846.66666666666</v>
      </c>
      <c r="N293" s="61">
        <f t="shared" si="641"/>
        <v>791527.2958096558</v>
      </c>
      <c r="O293" s="48">
        <f t="shared" si="642"/>
        <v>-462854.9291429891</v>
      </c>
      <c r="P293" s="25">
        <f t="shared" ref="P293:Q293" si="652">P487</f>
        <v>492158.32341085264</v>
      </c>
      <c r="Q293" s="25">
        <f t="shared" si="652"/>
        <v>-282851.09860465111</v>
      </c>
      <c r="R293" s="677">
        <f t="shared" si="644"/>
        <v>1449024</v>
      </c>
      <c r="S293" s="127">
        <f t="shared" si="645"/>
        <v>136906</v>
      </c>
      <c r="T293" s="127">
        <f t="shared" si="596"/>
        <v>1418522.2143234741</v>
      </c>
      <c r="U293" s="127">
        <f t="shared" si="597"/>
        <v>776443.85114146117</v>
      </c>
      <c r="V293" s="88"/>
      <c r="W293" s="127">
        <f t="shared" si="646"/>
        <v>19864112</v>
      </c>
      <c r="X293" s="623">
        <f t="shared" si="647"/>
        <v>-0.19711593901397551</v>
      </c>
      <c r="Y293" s="127">
        <f t="shared" si="648"/>
        <v>3442450.6096000001</v>
      </c>
      <c r="DI293" s="6"/>
      <c r="DU293" s="55"/>
      <c r="GF293" s="6"/>
      <c r="GH293" s="180"/>
      <c r="GT293" s="6"/>
      <c r="GY293" s="53"/>
      <c r="GZ293" s="182"/>
    </row>
    <row r="294" spans="1:208" ht="12" customHeight="1">
      <c r="A294" s="231">
        <v>39567</v>
      </c>
      <c r="B294" s="677">
        <f t="shared" si="649"/>
        <v>2439492</v>
      </c>
      <c r="C294" s="26">
        <f t="shared" si="650"/>
        <v>-268713</v>
      </c>
      <c r="D294" s="127">
        <f t="shared" si="632"/>
        <v>-876405</v>
      </c>
      <c r="E294" s="127">
        <f t="shared" si="633"/>
        <v>34840</v>
      </c>
      <c r="F294" s="48">
        <f t="shared" si="634"/>
        <v>156950.66666666666</v>
      </c>
      <c r="G294" s="48">
        <f t="shared" si="635"/>
        <v>318533.32852307416</v>
      </c>
      <c r="H294" s="127">
        <f t="shared" si="636"/>
        <v>418080</v>
      </c>
      <c r="I294" s="127">
        <f t="shared" si="637"/>
        <v>2660153</v>
      </c>
      <c r="J294" s="127">
        <f t="shared" si="638"/>
        <v>-2242073</v>
      </c>
      <c r="K294" s="127"/>
      <c r="L294" s="127">
        <f t="shared" si="639"/>
        <v>78834</v>
      </c>
      <c r="M294" s="48">
        <f t="shared" si="640"/>
        <v>215691.71666666667</v>
      </c>
      <c r="N294" s="61">
        <f t="shared" si="641"/>
        <v>794017.32371281495</v>
      </c>
      <c r="O294" s="48">
        <f t="shared" si="642"/>
        <v>-480115.99037948169</v>
      </c>
      <c r="P294" s="25">
        <f t="shared" ref="P294:Q294" si="653">P488</f>
        <v>492158.32341085264</v>
      </c>
      <c r="Q294" s="25">
        <f t="shared" si="653"/>
        <v>-282851.09860465111</v>
      </c>
      <c r="R294" s="677">
        <f t="shared" si="644"/>
        <v>2439492</v>
      </c>
      <c r="S294" s="127">
        <f t="shared" si="645"/>
        <v>990468</v>
      </c>
      <c r="T294" s="127">
        <f t="shared" si="596"/>
        <v>1418522.2143234741</v>
      </c>
      <c r="U294" s="127">
        <f t="shared" si="597"/>
        <v>776443.85114146117</v>
      </c>
      <c r="V294" s="88"/>
      <c r="W294" s="127">
        <f t="shared" si="646"/>
        <v>20608490</v>
      </c>
      <c r="X294" s="623">
        <f t="shared" si="647"/>
        <v>-0.14119014264080837</v>
      </c>
      <c r="Y294" s="127">
        <f t="shared" si="648"/>
        <v>3571451.3170000003</v>
      </c>
      <c r="DI294" s="6"/>
      <c r="DU294" s="55"/>
      <c r="GF294" s="6"/>
      <c r="GH294" s="180"/>
      <c r="GT294" s="6"/>
      <c r="GY294" s="53"/>
      <c r="GZ294" s="182"/>
    </row>
    <row r="295" spans="1:208" ht="12" customHeight="1">
      <c r="A295" s="231">
        <v>39598</v>
      </c>
      <c r="B295" s="677">
        <f t="shared" si="649"/>
        <v>2571487</v>
      </c>
      <c r="C295" s="26">
        <f t="shared" si="650"/>
        <v>429860</v>
      </c>
      <c r="D295" s="127">
        <f t="shared" si="632"/>
        <v>-186400</v>
      </c>
      <c r="E295" s="127">
        <f t="shared" si="633"/>
        <v>24025.666666666668</v>
      </c>
      <c r="F295" s="48">
        <f t="shared" si="634"/>
        <v>162128.85</v>
      </c>
      <c r="G295" s="48">
        <f t="shared" si="635"/>
        <v>320428.43766881153</v>
      </c>
      <c r="H295" s="127">
        <f t="shared" si="636"/>
        <v>288308</v>
      </c>
      <c r="I295" s="127">
        <f t="shared" si="637"/>
        <v>2620932</v>
      </c>
      <c r="J295" s="127">
        <f t="shared" si="638"/>
        <v>-2332624</v>
      </c>
      <c r="K295" s="127"/>
      <c r="L295" s="127">
        <f t="shared" si="639"/>
        <v>698573</v>
      </c>
      <c r="M295" s="48">
        <f t="shared" si="640"/>
        <v>226413.78333333333</v>
      </c>
      <c r="N295" s="61">
        <f t="shared" si="641"/>
        <v>802985.72533762304</v>
      </c>
      <c r="O295" s="48">
        <f t="shared" si="642"/>
        <v>-478728.02533762308</v>
      </c>
      <c r="P295" s="25">
        <f t="shared" ref="P295:Q295" si="654">P489</f>
        <v>492158.32341085264</v>
      </c>
      <c r="Q295" s="25">
        <f t="shared" si="654"/>
        <v>-282851.09860465111</v>
      </c>
      <c r="R295" s="677">
        <f t="shared" si="644"/>
        <v>2571487</v>
      </c>
      <c r="S295" s="127">
        <f t="shared" si="645"/>
        <v>131995</v>
      </c>
      <c r="T295" s="127">
        <f t="shared" si="596"/>
        <v>1418522.2143234741</v>
      </c>
      <c r="U295" s="127">
        <f t="shared" si="597"/>
        <v>776443.85114146117</v>
      </c>
      <c r="V295" s="88"/>
      <c r="W295" s="127">
        <f t="shared" si="646"/>
        <v>21534812</v>
      </c>
      <c r="X295" s="623">
        <f t="shared" si="647"/>
        <v>-6.6554770739992511E-2</v>
      </c>
      <c r="Y295" s="127">
        <f t="shared" si="648"/>
        <v>3731982.9196000001</v>
      </c>
      <c r="DI295" s="6"/>
      <c r="DU295" s="55"/>
      <c r="GF295" s="6"/>
      <c r="GH295" s="180"/>
      <c r="GT295" s="6"/>
      <c r="GY295" s="53"/>
      <c r="GZ295" s="182"/>
    </row>
    <row r="296" spans="1:208" ht="12" customHeight="1">
      <c r="A296" s="231">
        <v>39628</v>
      </c>
      <c r="B296" s="677">
        <f t="shared" si="649"/>
        <v>2591287</v>
      </c>
      <c r="C296" s="26">
        <f t="shared" si="650"/>
        <v>218642</v>
      </c>
      <c r="D296" s="127">
        <f t="shared" si="632"/>
        <v>379789</v>
      </c>
      <c r="E296" s="127">
        <f t="shared" si="633"/>
        <v>6793.166666666667</v>
      </c>
      <c r="F296" s="48">
        <f t="shared" si="634"/>
        <v>153294.46666666667</v>
      </c>
      <c r="G296" s="48">
        <f t="shared" si="635"/>
        <v>311154.98380860151</v>
      </c>
      <c r="H296" s="127">
        <f t="shared" si="636"/>
        <v>81518</v>
      </c>
      <c r="I296" s="127">
        <f t="shared" si="637"/>
        <v>2346680</v>
      </c>
      <c r="J296" s="127">
        <f t="shared" si="638"/>
        <v>-2265162</v>
      </c>
      <c r="K296" s="127"/>
      <c r="L296" s="127">
        <f t="shared" si="639"/>
        <v>211218</v>
      </c>
      <c r="M296" s="48">
        <f t="shared" si="640"/>
        <v>219441.81666666668</v>
      </c>
      <c r="N296" s="61">
        <f t="shared" si="641"/>
        <v>775604.43428386969</v>
      </c>
      <c r="O296" s="48">
        <f t="shared" si="642"/>
        <v>-469015.50095053634</v>
      </c>
      <c r="P296" s="25">
        <f t="shared" ref="P296:Q296" si="655">P490</f>
        <v>492158.32341085264</v>
      </c>
      <c r="Q296" s="25">
        <f t="shared" si="655"/>
        <v>-282851.09860465111</v>
      </c>
      <c r="R296" s="677">
        <f t="shared" si="644"/>
        <v>2591287</v>
      </c>
      <c r="S296" s="127">
        <f t="shared" si="645"/>
        <v>19800</v>
      </c>
      <c r="T296" s="127">
        <f t="shared" si="596"/>
        <v>1418522.2143234741</v>
      </c>
      <c r="U296" s="127">
        <f t="shared" si="597"/>
        <v>776443.85114146117</v>
      </c>
      <c r="V296" s="88"/>
      <c r="W296" s="127">
        <f t="shared" si="646"/>
        <v>22230984</v>
      </c>
      <c r="X296" s="623">
        <f t="shared" si="647"/>
        <v>-6.3953928821638435E-3</v>
      </c>
      <c r="Y296" s="127">
        <f t="shared" si="648"/>
        <v>3852629.5272000004</v>
      </c>
      <c r="DI296" s="6"/>
      <c r="DU296" s="55"/>
      <c r="GF296" s="6"/>
      <c r="GH296" s="180"/>
      <c r="GT296" s="6"/>
      <c r="GY296" s="53"/>
      <c r="GZ296" s="182"/>
    </row>
    <row r="297" spans="1:208" ht="12" customHeight="1">
      <c r="A297" s="231">
        <v>39659</v>
      </c>
      <c r="B297" s="677">
        <f t="shared" si="649"/>
        <v>2053084</v>
      </c>
      <c r="C297" s="26">
        <f t="shared" si="650"/>
        <v>10771</v>
      </c>
      <c r="D297" s="127">
        <f t="shared" si="632"/>
        <v>659273</v>
      </c>
      <c r="E297" s="127">
        <f t="shared" si="633"/>
        <v>-5359</v>
      </c>
      <c r="F297" s="48">
        <f t="shared" si="634"/>
        <v>149629.70000000001</v>
      </c>
      <c r="G297" s="48">
        <f t="shared" si="635"/>
        <v>311523.05350638559</v>
      </c>
      <c r="H297" s="127">
        <f t="shared" si="636"/>
        <v>-64308</v>
      </c>
      <c r="I297" s="127">
        <f t="shared" si="637"/>
        <v>2400992</v>
      </c>
      <c r="J297" s="127">
        <f t="shared" si="638"/>
        <v>-2465300</v>
      </c>
      <c r="K297" s="127"/>
      <c r="L297" s="127">
        <f t="shared" si="639"/>
        <v>207871</v>
      </c>
      <c r="M297" s="48">
        <f t="shared" si="640"/>
        <v>214272.2</v>
      </c>
      <c r="N297" s="61">
        <f t="shared" si="641"/>
        <v>772675.80701277126</v>
      </c>
      <c r="O297" s="48">
        <f t="shared" si="642"/>
        <v>-473416.40701277117</v>
      </c>
      <c r="P297" s="25">
        <f t="shared" ref="P297:Q297" si="656">P491</f>
        <v>492158.32341085264</v>
      </c>
      <c r="Q297" s="25">
        <f t="shared" si="656"/>
        <v>-282851.09860465111</v>
      </c>
      <c r="R297" s="677">
        <f t="shared" si="644"/>
        <v>2053084</v>
      </c>
      <c r="S297" s="127">
        <f t="shared" si="645"/>
        <v>538203</v>
      </c>
      <c r="T297" s="127">
        <f t="shared" si="596"/>
        <v>1418522.2143234741</v>
      </c>
      <c r="U297" s="127">
        <f t="shared" si="597"/>
        <v>776443.85114146117</v>
      </c>
      <c r="V297" s="88"/>
      <c r="W297" s="127">
        <f t="shared" si="646"/>
        <v>22417133</v>
      </c>
      <c r="X297" s="623">
        <f t="shared" si="647"/>
        <v>1.0330257997074625E-2</v>
      </c>
      <c r="Y297" s="127">
        <f t="shared" si="648"/>
        <v>3884889.1489000004</v>
      </c>
      <c r="DI297" s="6"/>
      <c r="DU297" s="55"/>
      <c r="GF297" s="6"/>
      <c r="GH297" s="180"/>
      <c r="GT297" s="6"/>
      <c r="GY297" s="53"/>
      <c r="GZ297" s="182"/>
    </row>
    <row r="298" spans="1:208" ht="12" customHeight="1">
      <c r="A298" s="231">
        <v>39690</v>
      </c>
      <c r="B298" s="677">
        <f t="shared" si="649"/>
        <v>2079675</v>
      </c>
      <c r="C298" s="26">
        <f t="shared" si="650"/>
        <v>400088</v>
      </c>
      <c r="D298" s="127">
        <f t="shared" si="632"/>
        <v>629501</v>
      </c>
      <c r="E298" s="127">
        <f t="shared" si="633"/>
        <v>-21909.75</v>
      </c>
      <c r="F298" s="48">
        <f t="shared" si="634"/>
        <v>154382.98333333334</v>
      </c>
      <c r="G298" s="48">
        <f t="shared" si="635"/>
        <v>313155.5394039941</v>
      </c>
      <c r="H298" s="127">
        <f t="shared" si="636"/>
        <v>-262917</v>
      </c>
      <c r="I298" s="127">
        <f t="shared" si="637"/>
        <v>2578552</v>
      </c>
      <c r="J298" s="127">
        <f t="shared" si="638"/>
        <v>-2841469</v>
      </c>
      <c r="K298" s="127"/>
      <c r="L298" s="127">
        <f t="shared" si="639"/>
        <v>389317</v>
      </c>
      <c r="M298" s="48">
        <f t="shared" si="640"/>
        <v>218831.38333333333</v>
      </c>
      <c r="N298" s="61">
        <f t="shared" si="641"/>
        <v>780694.0621413216</v>
      </c>
      <c r="O298" s="48">
        <f t="shared" si="642"/>
        <v>-471928.09547465487</v>
      </c>
      <c r="P298" s="25">
        <f t="shared" ref="P298:Q298" si="657">P492</f>
        <v>492158.32341085264</v>
      </c>
      <c r="Q298" s="25">
        <f t="shared" si="657"/>
        <v>-282851.09860465111</v>
      </c>
      <c r="R298" s="677">
        <f t="shared" si="644"/>
        <v>2079675</v>
      </c>
      <c r="S298" s="127">
        <f t="shared" si="645"/>
        <v>26591</v>
      </c>
      <c r="T298" s="127">
        <f t="shared" si="596"/>
        <v>1418522.2143234741</v>
      </c>
      <c r="U298" s="127">
        <f t="shared" si="597"/>
        <v>776443.85114146117</v>
      </c>
      <c r="V298" s="88"/>
      <c r="W298" s="127">
        <f t="shared" si="646"/>
        <v>22384934</v>
      </c>
      <c r="X298" s="623">
        <f t="shared" si="647"/>
        <v>7.4171049892833634E-3</v>
      </c>
      <c r="Y298" s="127">
        <f t="shared" si="648"/>
        <v>3879309.0622</v>
      </c>
      <c r="DI298" s="6"/>
      <c r="DU298" s="55"/>
      <c r="GF298" s="6"/>
      <c r="GH298" s="180"/>
      <c r="GT298" s="6"/>
      <c r="GY298" s="53"/>
      <c r="GZ298" s="182"/>
    </row>
    <row r="299" spans="1:208">
      <c r="A299" s="231">
        <v>39720</v>
      </c>
      <c r="B299" s="677">
        <f t="shared" si="649"/>
        <v>2100245</v>
      </c>
      <c r="C299" s="26">
        <f t="shared" si="650"/>
        <v>-244827</v>
      </c>
      <c r="D299" s="127">
        <f t="shared" si="632"/>
        <v>166032</v>
      </c>
      <c r="E299" s="127">
        <f t="shared" si="633"/>
        <v>-62418.333333333336</v>
      </c>
      <c r="F299" s="48">
        <f t="shared" si="634"/>
        <v>147460.29999999999</v>
      </c>
      <c r="G299" s="48">
        <f t="shared" si="635"/>
        <v>317355.31769495277</v>
      </c>
      <c r="H299" s="127">
        <f t="shared" si="636"/>
        <v>-749020</v>
      </c>
      <c r="I299" s="127">
        <f t="shared" si="637"/>
        <v>2557640</v>
      </c>
      <c r="J299" s="127">
        <f t="shared" si="638"/>
        <v>-3306660</v>
      </c>
      <c r="K299" s="127"/>
      <c r="L299" s="127">
        <f t="shared" si="639"/>
        <v>644915</v>
      </c>
      <c r="M299" s="48">
        <f t="shared" si="640"/>
        <v>228652.58333333334</v>
      </c>
      <c r="N299" s="61">
        <f t="shared" si="641"/>
        <v>782170.93538990547</v>
      </c>
      <c r="O299" s="48">
        <f t="shared" si="642"/>
        <v>-487250.33538990555</v>
      </c>
      <c r="P299" s="25">
        <f t="shared" ref="P299:Q299" si="658">P493</f>
        <v>492158.32341085264</v>
      </c>
      <c r="Q299" s="25">
        <f t="shared" si="658"/>
        <v>-282851.09860465111</v>
      </c>
      <c r="R299" s="677">
        <f t="shared" si="644"/>
        <v>2100245</v>
      </c>
      <c r="S299" s="127">
        <f t="shared" si="645"/>
        <v>20570</v>
      </c>
      <c r="T299" s="127">
        <f t="shared" si="596"/>
        <v>1418522.2143234741</v>
      </c>
      <c r="U299" s="127">
        <f t="shared" si="597"/>
        <v>776443.85114146117</v>
      </c>
      <c r="V299" s="88"/>
      <c r="W299" s="127">
        <f t="shared" si="646"/>
        <v>22701158</v>
      </c>
      <c r="X299" s="623">
        <f t="shared" si="647"/>
        <v>3.6397945735784691E-2</v>
      </c>
      <c r="Y299" s="127">
        <f t="shared" si="648"/>
        <v>3934110.6814000001</v>
      </c>
      <c r="DI299" s="6"/>
      <c r="DU299" s="55"/>
      <c r="GF299" s="6"/>
      <c r="GH299" s="180"/>
      <c r="GT299" s="6"/>
      <c r="GY299" s="53"/>
      <c r="GZ299" s="182"/>
    </row>
    <row r="300" spans="1:208" ht="12" customHeight="1">
      <c r="A300" s="231">
        <v>39751</v>
      </c>
      <c r="B300" s="677">
        <f t="shared" si="649"/>
        <v>1774220</v>
      </c>
      <c r="C300" s="26">
        <f t="shared" si="650"/>
        <v>324540</v>
      </c>
      <c r="D300" s="127">
        <f t="shared" si="632"/>
        <v>479801</v>
      </c>
      <c r="E300" s="127">
        <f t="shared" si="633"/>
        <v>-46053.416666666664</v>
      </c>
      <c r="F300" s="48">
        <f t="shared" si="634"/>
        <v>147025.03333333333</v>
      </c>
      <c r="G300" s="48">
        <f t="shared" si="635"/>
        <v>317089.70079634804</v>
      </c>
      <c r="H300" s="127">
        <f t="shared" si="636"/>
        <v>-552641</v>
      </c>
      <c r="I300" s="127">
        <f t="shared" si="637"/>
        <v>2711130</v>
      </c>
      <c r="J300" s="127">
        <f t="shared" si="638"/>
        <v>-3263771</v>
      </c>
      <c r="K300" s="127"/>
      <c r="L300" s="127">
        <f t="shared" si="639"/>
        <v>569367</v>
      </c>
      <c r="M300" s="48">
        <f t="shared" si="640"/>
        <v>235140</v>
      </c>
      <c r="N300" s="61">
        <f t="shared" si="641"/>
        <v>781204.43492602941</v>
      </c>
      <c r="O300" s="48">
        <f t="shared" si="642"/>
        <v>-487154.36825936276</v>
      </c>
      <c r="P300" s="25">
        <f t="shared" ref="P300:Q300" si="659">P494</f>
        <v>492158.32341085264</v>
      </c>
      <c r="Q300" s="25">
        <f t="shared" si="659"/>
        <v>-282851.09860465111</v>
      </c>
      <c r="R300" s="677">
        <f t="shared" si="644"/>
        <v>1774220</v>
      </c>
      <c r="S300" s="127">
        <f t="shared" si="645"/>
        <v>326025</v>
      </c>
      <c r="T300" s="127">
        <f t="shared" si="596"/>
        <v>1418522.2143234741</v>
      </c>
      <c r="U300" s="127">
        <f t="shared" si="597"/>
        <v>776443.85114146117</v>
      </c>
      <c r="V300" s="88"/>
      <c r="W300" s="127">
        <f t="shared" si="646"/>
        <v>22745205</v>
      </c>
      <c r="X300" s="623">
        <f t="shared" si="647"/>
        <v>4.0501231161013243E-2</v>
      </c>
      <c r="Y300" s="127">
        <f t="shared" si="648"/>
        <v>3941744.0265000002</v>
      </c>
      <c r="DI300" s="6"/>
      <c r="DU300" s="55"/>
      <c r="GF300" s="6"/>
      <c r="GH300" s="180"/>
      <c r="GT300" s="6"/>
      <c r="GY300" s="53"/>
      <c r="GZ300" s="182"/>
    </row>
    <row r="301" spans="1:208">
      <c r="A301" s="231">
        <v>39781</v>
      </c>
      <c r="B301" s="677">
        <f t="shared" si="649"/>
        <v>1784610</v>
      </c>
      <c r="C301" s="26">
        <f t="shared" si="650"/>
        <v>-130875</v>
      </c>
      <c r="D301" s="127">
        <f t="shared" si="632"/>
        <v>-51162</v>
      </c>
      <c r="E301" s="127">
        <f t="shared" si="633"/>
        <v>-68077.75</v>
      </c>
      <c r="F301" s="48">
        <f t="shared" si="634"/>
        <v>143338.66666666666</v>
      </c>
      <c r="G301" s="48">
        <f t="shared" si="635"/>
        <v>319039.95175104751</v>
      </c>
      <c r="H301" s="127">
        <f t="shared" si="636"/>
        <v>-816933</v>
      </c>
      <c r="I301" s="127">
        <f t="shared" si="637"/>
        <v>2761642</v>
      </c>
      <c r="J301" s="127">
        <f t="shared" si="638"/>
        <v>-3578575</v>
      </c>
      <c r="K301" s="127"/>
      <c r="L301" s="127">
        <f t="shared" si="639"/>
        <v>455415</v>
      </c>
      <c r="M301" s="48">
        <f t="shared" si="640"/>
        <v>238391.1</v>
      </c>
      <c r="N301" s="61">
        <f t="shared" si="641"/>
        <v>781418.57016876165</v>
      </c>
      <c r="O301" s="48">
        <f t="shared" si="642"/>
        <v>-494741.2368354284</v>
      </c>
      <c r="P301" s="25">
        <f t="shared" ref="P301:Q301" si="660">P495</f>
        <v>492158.32341085264</v>
      </c>
      <c r="Q301" s="25">
        <f t="shared" si="660"/>
        <v>-282851.09860465111</v>
      </c>
      <c r="R301" s="677">
        <f t="shared" si="644"/>
        <v>1784610</v>
      </c>
      <c r="S301" s="127">
        <f t="shared" si="645"/>
        <v>10390</v>
      </c>
      <c r="T301" s="127">
        <f t="shared" si="596"/>
        <v>1418522.2143234741</v>
      </c>
      <c r="U301" s="127">
        <f t="shared" si="597"/>
        <v>776443.85114146117</v>
      </c>
      <c r="V301" s="88"/>
      <c r="W301" s="127">
        <f t="shared" si="646"/>
        <v>22946844</v>
      </c>
      <c r="X301" s="623">
        <f t="shared" si="647"/>
        <v>5.9498393565674733E-2</v>
      </c>
      <c r="Y301" s="127">
        <f t="shared" si="648"/>
        <v>3976688.0652000001</v>
      </c>
      <c r="GH301" s="180"/>
    </row>
    <row r="302" spans="1:208">
      <c r="A302" s="668">
        <v>39812</v>
      </c>
      <c r="B302" s="677">
        <f t="shared" si="649"/>
        <v>2312266</v>
      </c>
      <c r="C302" s="26">
        <f t="shared" si="650"/>
        <v>196114</v>
      </c>
      <c r="D302" s="121">
        <f t="shared" si="632"/>
        <v>389779</v>
      </c>
      <c r="E302" s="121">
        <f t="shared" si="633"/>
        <v>4783.166666666667</v>
      </c>
      <c r="F302" s="565">
        <f t="shared" si="634"/>
        <v>147563.76666666666</v>
      </c>
      <c r="G302" s="565">
        <f t="shared" si="635"/>
        <v>318013.54584337573</v>
      </c>
      <c r="H302" s="121">
        <f t="shared" si="636"/>
        <v>57398</v>
      </c>
      <c r="I302" s="121">
        <f t="shared" si="637"/>
        <v>1945713</v>
      </c>
      <c r="J302" s="121">
        <f t="shared" si="638"/>
        <v>-1888315</v>
      </c>
      <c r="K302" s="121"/>
      <c r="L302" s="121">
        <f t="shared" si="639"/>
        <v>326989</v>
      </c>
      <c r="M302" s="565">
        <f t="shared" si="640"/>
        <v>241379.26666666666</v>
      </c>
      <c r="N302" s="116">
        <f t="shared" si="641"/>
        <v>783590.85835341807</v>
      </c>
      <c r="O302" s="565">
        <f t="shared" si="642"/>
        <v>-488463.3250200848</v>
      </c>
      <c r="P302" s="121">
        <f t="shared" ref="P302:Q302" si="661">P496</f>
        <v>492158.32341085264</v>
      </c>
      <c r="Q302" s="121">
        <f t="shared" si="661"/>
        <v>-282851.09860465111</v>
      </c>
      <c r="R302" s="626">
        <f t="shared" si="644"/>
        <v>2312266</v>
      </c>
      <c r="S302" s="121">
        <f t="shared" si="645"/>
        <v>527656</v>
      </c>
      <c r="T302" s="121">
        <f t="shared" si="596"/>
        <v>1418522.2143234741</v>
      </c>
      <c r="U302" s="121">
        <f t="shared" si="597"/>
        <v>776443.85114146117</v>
      </c>
      <c r="V302" s="52"/>
      <c r="W302" s="121">
        <f t="shared" si="646"/>
        <v>23536046</v>
      </c>
      <c r="X302" s="567">
        <f t="shared" si="647"/>
        <v>0.11709295542225923</v>
      </c>
      <c r="Y302" s="121">
        <f t="shared" si="648"/>
        <v>4078796.7718000002</v>
      </c>
      <c r="GH302" s="180"/>
    </row>
    <row r="303" spans="1:208">
      <c r="A303" s="676">
        <v>39843</v>
      </c>
      <c r="B303" s="677">
        <f>IF(CF3&gt;0,CF3,"")</f>
        <v>1492295</v>
      </c>
      <c r="C303" s="26">
        <f>IF(B303&lt;&gt;"",BA3,"")</f>
        <v>-156870</v>
      </c>
      <c r="D303" s="127">
        <f t="shared" si="632"/>
        <v>-91631</v>
      </c>
      <c r="E303" s="127">
        <f t="shared" si="633"/>
        <v>14253.166666666666</v>
      </c>
      <c r="F303" s="48">
        <f t="shared" si="634"/>
        <v>143571.71666666667</v>
      </c>
      <c r="G303" s="48">
        <f t="shared" si="635"/>
        <v>320337.07426889514</v>
      </c>
      <c r="H303" s="127">
        <f t="shared" si="636"/>
        <v>171038</v>
      </c>
      <c r="I303" s="127">
        <f t="shared" si="637"/>
        <v>1714297</v>
      </c>
      <c r="J303" s="127">
        <f t="shared" si="638"/>
        <v>-1543259</v>
      </c>
      <c r="K303" s="127"/>
      <c r="L303" s="127">
        <f t="shared" si="639"/>
        <v>352984</v>
      </c>
      <c r="M303" s="48">
        <f t="shared" si="640"/>
        <v>244928.25</v>
      </c>
      <c r="N303" s="61">
        <f t="shared" si="641"/>
        <v>784245.86520445696</v>
      </c>
      <c r="O303" s="48">
        <f t="shared" si="642"/>
        <v>-497102.43187112361</v>
      </c>
      <c r="P303" s="25">
        <f t="shared" ref="P303:Q303" si="662">P497</f>
        <v>492158.32341085264</v>
      </c>
      <c r="Q303" s="25">
        <f t="shared" si="662"/>
        <v>-282851.09860465111</v>
      </c>
      <c r="R303" s="677">
        <f t="shared" si="644"/>
        <v>1492295</v>
      </c>
      <c r="S303" s="127">
        <f t="shared" si="645"/>
        <v>819971</v>
      </c>
      <c r="T303" s="127">
        <f t="shared" si="596"/>
        <v>1418522.2143234741</v>
      </c>
      <c r="U303" s="127">
        <f t="shared" si="597"/>
        <v>776443.85114146117</v>
      </c>
      <c r="V303" s="88"/>
      <c r="W303" s="127">
        <f t="shared" si="646"/>
        <v>23959803</v>
      </c>
      <c r="X303" s="623">
        <f t="shared" si="647"/>
        <v>0.15320935845752456</v>
      </c>
      <c r="Y303" s="127">
        <f t="shared" si="648"/>
        <v>4152233.8599</v>
      </c>
      <c r="GH303" s="180"/>
    </row>
    <row r="304" spans="1:208">
      <c r="A304" s="676">
        <v>39871</v>
      </c>
      <c r="B304" s="677">
        <f t="shared" ref="B304:B314" si="663">IF(CF4&gt;0,CF4,"")</f>
        <v>1626785</v>
      </c>
      <c r="C304" s="26">
        <f t="shared" ref="C304:C314" si="664">IF(B304&lt;&gt;"",BA4,"")</f>
        <v>-115365</v>
      </c>
      <c r="D304" s="127">
        <f t="shared" si="632"/>
        <v>-76121</v>
      </c>
      <c r="E304" s="127">
        <f t="shared" si="633"/>
        <v>26318.166666666668</v>
      </c>
      <c r="F304" s="48">
        <f t="shared" si="634"/>
        <v>138975.11666666667</v>
      </c>
      <c r="G304" s="48">
        <f t="shared" si="635"/>
        <v>322065.12900207273</v>
      </c>
      <c r="H304" s="127">
        <f t="shared" si="636"/>
        <v>315818</v>
      </c>
      <c r="I304" s="127">
        <f t="shared" si="637"/>
        <v>1442078</v>
      </c>
      <c r="J304" s="127">
        <f t="shared" si="638"/>
        <v>-1126260</v>
      </c>
      <c r="K304" s="25"/>
      <c r="L304" s="127">
        <f t="shared" si="639"/>
        <v>41505</v>
      </c>
      <c r="M304" s="48">
        <f t="shared" si="640"/>
        <v>244323.7</v>
      </c>
      <c r="N304" s="61">
        <f t="shared" si="641"/>
        <v>783105.37467081216</v>
      </c>
      <c r="O304" s="48">
        <f t="shared" si="642"/>
        <v>-505155.14133747877</v>
      </c>
      <c r="P304" s="25">
        <f t="shared" ref="P304:Q304" si="665">P498</f>
        <v>492158.32341085264</v>
      </c>
      <c r="Q304" s="25">
        <f t="shared" si="665"/>
        <v>-282851.09860465111</v>
      </c>
      <c r="R304" s="677">
        <f t="shared" si="644"/>
        <v>1626785</v>
      </c>
      <c r="S304" s="127">
        <f t="shared" si="645"/>
        <v>134490</v>
      </c>
      <c r="T304" s="127">
        <f t="shared" si="596"/>
        <v>1418522.2143234741</v>
      </c>
      <c r="U304" s="127">
        <f t="shared" si="597"/>
        <v>776443.85114146117</v>
      </c>
      <c r="V304" s="88"/>
      <c r="W304" s="127">
        <f t="shared" si="646"/>
        <v>24274470</v>
      </c>
      <c r="X304" s="623">
        <f t="shared" si="647"/>
        <v>0.1924715698009008</v>
      </c>
      <c r="Y304" s="127">
        <f t="shared" si="648"/>
        <v>4206765.6510000005</v>
      </c>
      <c r="GH304" s="180"/>
    </row>
    <row r="305" spans="1:190">
      <c r="A305" s="676">
        <v>39902</v>
      </c>
      <c r="B305" s="677">
        <f t="shared" si="663"/>
        <v>2143503</v>
      </c>
      <c r="C305" s="26">
        <f t="shared" si="664"/>
        <v>-58604</v>
      </c>
      <c r="D305" s="127">
        <f t="shared" si="632"/>
        <v>-330839</v>
      </c>
      <c r="E305" s="127">
        <f t="shared" si="633"/>
        <v>50396.75</v>
      </c>
      <c r="F305" s="48">
        <f t="shared" si="634"/>
        <v>135427.1</v>
      </c>
      <c r="G305" s="48">
        <f t="shared" si="635"/>
        <v>323064.74520850135</v>
      </c>
      <c r="H305" s="127">
        <f t="shared" si="636"/>
        <v>604761</v>
      </c>
      <c r="I305" s="127">
        <f t="shared" si="637"/>
        <v>952982</v>
      </c>
      <c r="J305" s="127">
        <f t="shared" si="638"/>
        <v>-348221</v>
      </c>
      <c r="K305" s="127"/>
      <c r="L305" s="127">
        <f t="shared" si="639"/>
        <v>56761</v>
      </c>
      <c r="M305" s="48">
        <f t="shared" si="640"/>
        <v>245167.15</v>
      </c>
      <c r="N305" s="61">
        <f t="shared" si="641"/>
        <v>781556.59041700268</v>
      </c>
      <c r="O305" s="48">
        <f t="shared" si="642"/>
        <v>-510702.39041700272</v>
      </c>
      <c r="P305" s="25">
        <f t="shared" ref="P305:Q305" si="666">P499</f>
        <v>492158.32341085264</v>
      </c>
      <c r="Q305" s="25">
        <f t="shared" si="666"/>
        <v>-282851.09860465111</v>
      </c>
      <c r="R305" s="677">
        <f t="shared" si="644"/>
        <v>2143503</v>
      </c>
      <c r="S305" s="127">
        <f t="shared" si="645"/>
        <v>516718</v>
      </c>
      <c r="T305" s="127">
        <f t="shared" si="596"/>
        <v>1418522.2143234741</v>
      </c>
      <c r="U305" s="127">
        <f t="shared" si="597"/>
        <v>776443.85114146117</v>
      </c>
      <c r="V305" s="88"/>
      <c r="W305" s="127">
        <f t="shared" si="646"/>
        <v>24968949</v>
      </c>
      <c r="X305" s="623">
        <f t="shared" si="647"/>
        <v>0.25698792878332544</v>
      </c>
      <c r="Y305" s="127">
        <f t="shared" si="648"/>
        <v>4327118.8617000002</v>
      </c>
      <c r="GH305" s="180"/>
    </row>
    <row r="306" spans="1:190">
      <c r="A306" s="676">
        <v>39932</v>
      </c>
      <c r="B306" s="677">
        <f t="shared" si="663"/>
        <v>2096592</v>
      </c>
      <c r="C306" s="26">
        <f t="shared" si="664"/>
        <v>186018</v>
      </c>
      <c r="D306" s="127">
        <f t="shared" si="632"/>
        <v>12049</v>
      </c>
      <c r="E306" s="127">
        <f t="shared" si="633"/>
        <v>88291</v>
      </c>
      <c r="F306" s="48">
        <f t="shared" si="634"/>
        <v>128920.98333333334</v>
      </c>
      <c r="G306" s="48">
        <f t="shared" si="635"/>
        <v>317923.73945801187</v>
      </c>
      <c r="H306" s="127">
        <f t="shared" si="636"/>
        <v>1059492</v>
      </c>
      <c r="I306" s="127">
        <f t="shared" si="637"/>
        <v>418080</v>
      </c>
      <c r="J306" s="127">
        <f t="shared" si="638"/>
        <v>641412</v>
      </c>
      <c r="K306" s="127"/>
      <c r="L306" s="127">
        <f t="shared" si="639"/>
        <v>244622</v>
      </c>
      <c r="M306" s="48">
        <f t="shared" si="640"/>
        <v>242209.05</v>
      </c>
      <c r="N306" s="61">
        <f t="shared" si="641"/>
        <v>764768.46224935702</v>
      </c>
      <c r="O306" s="48">
        <f t="shared" si="642"/>
        <v>-506926.4955826904</v>
      </c>
      <c r="P306" s="25">
        <f t="shared" ref="P306:Q306" si="667">P500</f>
        <v>492158.32341085264</v>
      </c>
      <c r="Q306" s="25">
        <f t="shared" si="667"/>
        <v>-282851.09860465111</v>
      </c>
      <c r="R306" s="677">
        <f t="shared" si="644"/>
        <v>2096592</v>
      </c>
      <c r="S306" s="127">
        <f t="shared" si="645"/>
        <v>46911</v>
      </c>
      <c r="T306" s="127">
        <f t="shared" si="596"/>
        <v>1418522.2143234741</v>
      </c>
      <c r="U306" s="127">
        <f t="shared" si="597"/>
        <v>776443.85114146117</v>
      </c>
      <c r="V306" s="88"/>
      <c r="W306" s="127">
        <f t="shared" si="646"/>
        <v>24626049</v>
      </c>
      <c r="X306" s="623">
        <f t="shared" si="647"/>
        <v>0.19494679134667314</v>
      </c>
      <c r="Y306" s="127">
        <f t="shared" si="648"/>
        <v>4267694.2916999999</v>
      </c>
      <c r="GH306" s="180"/>
    </row>
    <row r="307" spans="1:190">
      <c r="A307" s="676">
        <v>39963</v>
      </c>
      <c r="B307" s="677">
        <f t="shared" si="663"/>
        <v>2613935</v>
      </c>
      <c r="C307" s="26">
        <f t="shared" si="664"/>
        <v>-141490</v>
      </c>
      <c r="D307" s="127">
        <f t="shared" si="632"/>
        <v>-14076</v>
      </c>
      <c r="E307" s="127">
        <f t="shared" si="633"/>
        <v>40678.5</v>
      </c>
      <c r="F307" s="48">
        <f t="shared" si="634"/>
        <v>116008.51666666666</v>
      </c>
      <c r="G307" s="48">
        <f t="shared" si="635"/>
        <v>312784.57167370227</v>
      </c>
      <c r="H307" s="127">
        <f t="shared" si="636"/>
        <v>488142</v>
      </c>
      <c r="I307" s="127">
        <f t="shared" si="637"/>
        <v>288308</v>
      </c>
      <c r="J307" s="127">
        <f t="shared" si="638"/>
        <v>199834</v>
      </c>
      <c r="K307" s="127"/>
      <c r="L307" s="127">
        <f t="shared" si="639"/>
        <v>327508</v>
      </c>
      <c r="M307" s="48">
        <f t="shared" si="640"/>
        <v>246719.63333333333</v>
      </c>
      <c r="N307" s="61">
        <f t="shared" si="641"/>
        <v>741577.66001407127</v>
      </c>
      <c r="O307" s="48">
        <f t="shared" si="642"/>
        <v>-509560.62668073789</v>
      </c>
      <c r="P307" s="25">
        <f t="shared" ref="P307:Q307" si="668">P501</f>
        <v>492158.32341085264</v>
      </c>
      <c r="Q307" s="25">
        <f t="shared" si="668"/>
        <v>-282851.09860465111</v>
      </c>
      <c r="R307" s="677">
        <f t="shared" si="644"/>
        <v>2613935</v>
      </c>
      <c r="S307" s="127">
        <f t="shared" si="645"/>
        <v>517343</v>
      </c>
      <c r="T307" s="127">
        <f t="shared" si="596"/>
        <v>1418522.2143234741</v>
      </c>
      <c r="U307" s="127">
        <f t="shared" si="597"/>
        <v>776443.85114146117</v>
      </c>
      <c r="V307" s="88"/>
      <c r="W307" s="127">
        <f t="shared" si="646"/>
        <v>24668497</v>
      </c>
      <c r="X307" s="623">
        <f t="shared" si="647"/>
        <v>0.14551717470298789</v>
      </c>
      <c r="Y307" s="127">
        <f t="shared" si="648"/>
        <v>4275050.5301000001</v>
      </c>
    </row>
    <row r="308" spans="1:190">
      <c r="A308" s="676">
        <v>39993</v>
      </c>
      <c r="B308" s="677">
        <f t="shared" si="663"/>
        <v>2448192</v>
      </c>
      <c r="C308" s="26">
        <f t="shared" si="664"/>
        <v>63115</v>
      </c>
      <c r="D308" s="127">
        <f t="shared" si="632"/>
        <v>107643</v>
      </c>
      <c r="E308" s="127">
        <f t="shared" si="633"/>
        <v>27717.916666666668</v>
      </c>
      <c r="F308" s="48">
        <f t="shared" si="634"/>
        <v>104950.63333333333</v>
      </c>
      <c r="G308" s="48">
        <f t="shared" si="635"/>
        <v>302387.97953751159</v>
      </c>
      <c r="H308" s="127">
        <f t="shared" si="636"/>
        <v>332615</v>
      </c>
      <c r="I308" s="127">
        <f t="shared" si="637"/>
        <v>81518</v>
      </c>
      <c r="J308" s="127">
        <f t="shared" si="638"/>
        <v>251097</v>
      </c>
      <c r="K308" s="127"/>
      <c r="L308" s="127">
        <f t="shared" si="639"/>
        <v>204605</v>
      </c>
      <c r="M308" s="48">
        <f t="shared" si="640"/>
        <v>248574.21666666667</v>
      </c>
      <c r="N308" s="61">
        <f t="shared" si="641"/>
        <v>709726.59240835649</v>
      </c>
      <c r="O308" s="48">
        <f t="shared" si="642"/>
        <v>-499825.32574168989</v>
      </c>
      <c r="P308" s="25">
        <f t="shared" ref="P308:Q308" si="669">P502</f>
        <v>492158.32341085264</v>
      </c>
      <c r="Q308" s="25">
        <f t="shared" si="669"/>
        <v>-282851.09860465111</v>
      </c>
      <c r="R308" s="677">
        <f t="shared" si="644"/>
        <v>2448192</v>
      </c>
      <c r="S308" s="127">
        <f t="shared" si="645"/>
        <v>165743</v>
      </c>
      <c r="T308" s="127">
        <f t="shared" si="596"/>
        <v>1418522.2143234741</v>
      </c>
      <c r="U308" s="127">
        <f t="shared" si="597"/>
        <v>776443.85114146117</v>
      </c>
      <c r="V308" s="88"/>
      <c r="W308" s="127">
        <f t="shared" si="646"/>
        <v>24525402</v>
      </c>
      <c r="X308" s="623">
        <f t="shared" si="647"/>
        <v>0.1032081171035884</v>
      </c>
      <c r="Y308" s="127">
        <f t="shared" si="648"/>
        <v>4250252.1666000001</v>
      </c>
    </row>
    <row r="309" spans="1:190">
      <c r="A309" s="676">
        <v>40024</v>
      </c>
      <c r="B309" s="677">
        <f t="shared" si="663"/>
        <v>2048726</v>
      </c>
      <c r="C309" s="26">
        <f t="shared" si="664"/>
        <v>57801</v>
      </c>
      <c r="D309" s="127">
        <f t="shared" si="632"/>
        <v>-20574</v>
      </c>
      <c r="E309" s="127">
        <f t="shared" si="633"/>
        <v>31637.083333333332</v>
      </c>
      <c r="F309" s="48">
        <f t="shared" si="634"/>
        <v>96308.75</v>
      </c>
      <c r="G309" s="48">
        <f t="shared" si="635"/>
        <v>296031.08104092459</v>
      </c>
      <c r="H309" s="127">
        <f t="shared" si="636"/>
        <v>379645</v>
      </c>
      <c r="I309" s="127">
        <f t="shared" si="637"/>
        <v>-64308</v>
      </c>
      <c r="J309" s="127">
        <f t="shared" si="638"/>
        <v>443953</v>
      </c>
      <c r="K309" s="127"/>
      <c r="L309" s="127">
        <f t="shared" si="639"/>
        <v>5314</v>
      </c>
      <c r="M309" s="48">
        <f t="shared" si="640"/>
        <v>246158.21666666667</v>
      </c>
      <c r="N309" s="61">
        <f t="shared" si="641"/>
        <v>688370.91208184918</v>
      </c>
      <c r="O309" s="48">
        <f t="shared" si="642"/>
        <v>-495753.41208184918</v>
      </c>
      <c r="P309" s="25">
        <f t="shared" ref="P309:Q309" si="670">P503</f>
        <v>492158.32341085264</v>
      </c>
      <c r="Q309" s="25">
        <f t="shared" si="670"/>
        <v>-282851.09860465111</v>
      </c>
      <c r="R309" s="677">
        <f t="shared" si="644"/>
        <v>2048726</v>
      </c>
      <c r="S309" s="127">
        <f t="shared" si="645"/>
        <v>399466</v>
      </c>
      <c r="T309" s="127">
        <f t="shared" si="596"/>
        <v>1418522.2143234741</v>
      </c>
      <c r="U309" s="127">
        <f t="shared" si="597"/>
        <v>776443.85114146117</v>
      </c>
      <c r="V309" s="88"/>
      <c r="W309" s="127">
        <f t="shared" si="646"/>
        <v>24521044</v>
      </c>
      <c r="X309" s="623">
        <f t="shared" si="647"/>
        <v>9.3852813381621991E-2</v>
      </c>
      <c r="Y309" s="127">
        <f t="shared" si="648"/>
        <v>4249496.9252000004</v>
      </c>
    </row>
    <row r="310" spans="1:190">
      <c r="A310" s="676">
        <v>40055</v>
      </c>
      <c r="B310" s="677">
        <f t="shared" si="663"/>
        <v>2378711</v>
      </c>
      <c r="C310" s="26">
        <f t="shared" si="664"/>
        <v>15943</v>
      </c>
      <c r="D310" s="127">
        <f t="shared" si="632"/>
        <v>136859</v>
      </c>
      <c r="E310" s="127">
        <f t="shared" si="633"/>
        <v>-375</v>
      </c>
      <c r="F310" s="48">
        <f t="shared" si="634"/>
        <v>89352.516666666663</v>
      </c>
      <c r="G310" s="48">
        <f t="shared" si="635"/>
        <v>292864.58946150751</v>
      </c>
      <c r="H310" s="127">
        <f t="shared" si="636"/>
        <v>-4500</v>
      </c>
      <c r="I310" s="127">
        <f t="shared" si="637"/>
        <v>-262917</v>
      </c>
      <c r="J310" s="127">
        <f t="shared" si="638"/>
        <v>258417</v>
      </c>
      <c r="K310" s="127"/>
      <c r="L310" s="127">
        <f t="shared" si="639"/>
        <v>41858</v>
      </c>
      <c r="M310" s="48">
        <f t="shared" si="640"/>
        <v>244472.56666666668</v>
      </c>
      <c r="N310" s="61">
        <f t="shared" si="641"/>
        <v>675081.69558968162</v>
      </c>
      <c r="O310" s="48">
        <f t="shared" si="642"/>
        <v>-496376.66225634835</v>
      </c>
      <c r="P310" s="25">
        <f t="shared" ref="P310:Q310" si="671">P504</f>
        <v>492158.32341085264</v>
      </c>
      <c r="Q310" s="25">
        <f t="shared" si="671"/>
        <v>-282851.09860465111</v>
      </c>
      <c r="R310" s="677">
        <f t="shared" si="644"/>
        <v>2378711</v>
      </c>
      <c r="S310" s="127">
        <f t="shared" si="645"/>
        <v>329985</v>
      </c>
      <c r="T310" s="127">
        <f t="shared" si="596"/>
        <v>1418522.2143234741</v>
      </c>
      <c r="U310" s="127">
        <f t="shared" si="597"/>
        <v>776443.85114146117</v>
      </c>
      <c r="V310" s="88"/>
      <c r="W310" s="127">
        <f t="shared" si="646"/>
        <v>24820080</v>
      </c>
      <c r="X310" s="623">
        <f t="shared" si="647"/>
        <v>0.10878504265413515</v>
      </c>
      <c r="Y310" s="127">
        <f t="shared" si="648"/>
        <v>4301319.8640000001</v>
      </c>
    </row>
    <row r="311" spans="1:190">
      <c r="A311" s="676">
        <v>40085</v>
      </c>
      <c r="B311" s="677">
        <f t="shared" si="663"/>
        <v>2089714</v>
      </c>
      <c r="C311" s="26">
        <f t="shared" si="664"/>
        <v>496763</v>
      </c>
      <c r="D311" s="127">
        <f t="shared" si="632"/>
        <v>570507</v>
      </c>
      <c r="E311" s="127">
        <f t="shared" si="633"/>
        <v>61424.166666666664</v>
      </c>
      <c r="F311" s="48">
        <f t="shared" si="634"/>
        <v>89241.183333333334</v>
      </c>
      <c r="G311" s="48">
        <f t="shared" si="635"/>
        <v>292705.73027759243</v>
      </c>
      <c r="H311" s="127">
        <f t="shared" si="636"/>
        <v>737090</v>
      </c>
      <c r="I311" s="127">
        <f t="shared" si="637"/>
        <v>-749020</v>
      </c>
      <c r="J311" s="127">
        <f t="shared" si="638"/>
        <v>1486110</v>
      </c>
      <c r="K311" s="127"/>
      <c r="L311" s="127">
        <f t="shared" si="639"/>
        <v>480820</v>
      </c>
      <c r="M311" s="48">
        <f t="shared" si="640"/>
        <v>251317.46666666667</v>
      </c>
      <c r="N311" s="61">
        <f t="shared" si="641"/>
        <v>674652.64388851821</v>
      </c>
      <c r="O311" s="48">
        <f t="shared" si="642"/>
        <v>-496170.27722185152</v>
      </c>
      <c r="P311" s="25">
        <f t="shared" ref="P311:Q311" si="672">P505</f>
        <v>492158.32341085264</v>
      </c>
      <c r="Q311" s="25">
        <f t="shared" si="672"/>
        <v>-282851.09860465111</v>
      </c>
      <c r="R311" s="677">
        <f t="shared" si="644"/>
        <v>2089714</v>
      </c>
      <c r="S311" s="127">
        <f t="shared" si="645"/>
        <v>288997</v>
      </c>
      <c r="T311" s="127">
        <f t="shared" si="596"/>
        <v>1418522.2143234741</v>
      </c>
      <c r="U311" s="127">
        <f t="shared" si="597"/>
        <v>776443.85114146117</v>
      </c>
      <c r="V311" s="88"/>
      <c r="W311" s="127">
        <f t="shared" si="646"/>
        <v>24809549</v>
      </c>
      <c r="X311" s="623">
        <f t="shared" si="647"/>
        <v>9.287592289344887E-2</v>
      </c>
      <c r="Y311" s="127">
        <f t="shared" si="648"/>
        <v>4299494.8417000007</v>
      </c>
    </row>
    <row r="312" spans="1:190">
      <c r="A312" s="676">
        <v>40116</v>
      </c>
      <c r="B312" s="677">
        <f t="shared" si="663"/>
        <v>2065254</v>
      </c>
      <c r="C312" s="26">
        <f t="shared" si="664"/>
        <v>225816</v>
      </c>
      <c r="D312" s="127">
        <f t="shared" si="632"/>
        <v>738522</v>
      </c>
      <c r="E312" s="127">
        <f t="shared" si="633"/>
        <v>53197.166666666664</v>
      </c>
      <c r="F312" s="48">
        <f t="shared" si="634"/>
        <v>82382.71666666666</v>
      </c>
      <c r="G312" s="48">
        <f t="shared" si="635"/>
        <v>284347.53206286213</v>
      </c>
      <c r="H312" s="127">
        <f t="shared" si="636"/>
        <v>638366</v>
      </c>
      <c r="I312" s="127">
        <f t="shared" si="637"/>
        <v>-552641</v>
      </c>
      <c r="J312" s="127">
        <f t="shared" si="638"/>
        <v>1191007</v>
      </c>
      <c r="K312" s="127"/>
      <c r="L312" s="127">
        <f t="shared" si="639"/>
        <v>270947</v>
      </c>
      <c r="M312" s="48">
        <f t="shared" si="640"/>
        <v>253601.9</v>
      </c>
      <c r="N312" s="61">
        <f t="shared" si="641"/>
        <v>651077.78079239093</v>
      </c>
      <c r="O312" s="48">
        <f t="shared" si="642"/>
        <v>-486312.34745905758</v>
      </c>
      <c r="P312" s="25">
        <f t="shared" ref="P312:Q312" si="673">P506</f>
        <v>492158.32341085264</v>
      </c>
      <c r="Q312" s="25">
        <f t="shared" si="673"/>
        <v>-282851.09860465111</v>
      </c>
      <c r="R312" s="677">
        <f t="shared" si="644"/>
        <v>2065254</v>
      </c>
      <c r="S312" s="127">
        <f t="shared" si="645"/>
        <v>24460</v>
      </c>
      <c r="T312" s="127">
        <f t="shared" si="596"/>
        <v>1418522.2143234741</v>
      </c>
      <c r="U312" s="127">
        <f t="shared" si="597"/>
        <v>776443.85114146117</v>
      </c>
      <c r="V312" s="88"/>
      <c r="W312" s="127">
        <f t="shared" si="646"/>
        <v>25100583</v>
      </c>
      <c r="X312" s="623">
        <f t="shared" si="647"/>
        <v>0.10355492509300313</v>
      </c>
      <c r="Y312" s="127">
        <f t="shared" si="648"/>
        <v>4349931.0339000002</v>
      </c>
    </row>
    <row r="313" spans="1:190">
      <c r="A313" s="676">
        <v>40146</v>
      </c>
      <c r="B313" s="677">
        <f t="shared" si="663"/>
        <v>2022838</v>
      </c>
      <c r="C313" s="26">
        <f t="shared" si="664"/>
        <v>0</v>
      </c>
      <c r="D313" s="127">
        <f t="shared" si="632"/>
        <v>722579</v>
      </c>
      <c r="E313" s="127">
        <f t="shared" si="633"/>
        <v>64103.416666666664</v>
      </c>
      <c r="F313" s="48">
        <f t="shared" si="634"/>
        <v>82306.45</v>
      </c>
      <c r="G313" s="48">
        <f t="shared" si="635"/>
        <v>284369.36765217129</v>
      </c>
      <c r="H313" s="127">
        <f t="shared" si="636"/>
        <v>769241</v>
      </c>
      <c r="I313" s="127">
        <f t="shared" si="637"/>
        <v>-816933</v>
      </c>
      <c r="J313" s="127">
        <f t="shared" si="638"/>
        <v>1586174</v>
      </c>
      <c r="K313" s="127"/>
      <c r="L313" s="127">
        <f t="shared" si="639"/>
        <v>225816</v>
      </c>
      <c r="M313" s="48">
        <f t="shared" si="640"/>
        <v>246819.7</v>
      </c>
      <c r="N313" s="61">
        <f t="shared" si="641"/>
        <v>651045.18530434254</v>
      </c>
      <c r="O313" s="48">
        <f t="shared" si="642"/>
        <v>-486432.28530434257</v>
      </c>
      <c r="P313" s="25">
        <f t="shared" ref="P313:Q313" si="674">P507</f>
        <v>492158.32341085264</v>
      </c>
      <c r="Q313" s="25">
        <f t="shared" si="674"/>
        <v>-282851.09860465111</v>
      </c>
      <c r="R313" s="677">
        <f t="shared" si="644"/>
        <v>2022838</v>
      </c>
      <c r="S313" s="127">
        <f t="shared" si="645"/>
        <v>42416</v>
      </c>
      <c r="T313" s="127">
        <f t="shared" si="596"/>
        <v>1418522.2143234741</v>
      </c>
      <c r="U313" s="127">
        <f t="shared" si="597"/>
        <v>776443.85114146117</v>
      </c>
      <c r="V313" s="88"/>
      <c r="W313" s="127">
        <f t="shared" si="646"/>
        <v>25338811</v>
      </c>
      <c r="X313" s="623">
        <f t="shared" si="647"/>
        <v>0.10423947624344332</v>
      </c>
      <c r="Y313" s="127">
        <f t="shared" si="648"/>
        <v>4391215.9463</v>
      </c>
    </row>
    <row r="314" spans="1:190">
      <c r="A314" s="668">
        <v>40177</v>
      </c>
      <c r="B314" s="677">
        <f t="shared" si="663"/>
        <v>1958823</v>
      </c>
      <c r="C314" s="26">
        <f t="shared" si="664"/>
        <v>0</v>
      </c>
      <c r="D314" s="121">
        <f t="shared" si="632"/>
        <v>225816</v>
      </c>
      <c r="E314" s="121">
        <f t="shared" si="633"/>
        <v>47760.583333333336</v>
      </c>
      <c r="F314" s="48">
        <f t="shared" si="634"/>
        <v>84319.416666666672</v>
      </c>
      <c r="G314" s="48">
        <f t="shared" si="635"/>
        <v>283333.01464455074</v>
      </c>
      <c r="H314" s="121">
        <f t="shared" si="636"/>
        <v>573127</v>
      </c>
      <c r="I314" s="121">
        <f t="shared" si="637"/>
        <v>57398</v>
      </c>
      <c r="J314" s="121">
        <f t="shared" si="638"/>
        <v>515729</v>
      </c>
      <c r="K314" s="121"/>
      <c r="L314" s="121">
        <f t="shared" si="639"/>
        <v>0</v>
      </c>
      <c r="M314" s="48">
        <f t="shared" si="640"/>
        <v>244730.46666666667</v>
      </c>
      <c r="N314" s="61">
        <f t="shared" si="641"/>
        <v>650985.44595576811</v>
      </c>
      <c r="O314" s="48">
        <f t="shared" si="642"/>
        <v>-482346.6126224348</v>
      </c>
      <c r="P314" s="25">
        <f t="shared" ref="P314:Q314" si="675">P508</f>
        <v>492158.32341085264</v>
      </c>
      <c r="Q314" s="25">
        <f t="shared" si="675"/>
        <v>-282851.09860465111</v>
      </c>
      <c r="R314" s="677">
        <f t="shared" si="644"/>
        <v>1958823</v>
      </c>
      <c r="S314" s="121">
        <f t="shared" si="645"/>
        <v>64015</v>
      </c>
      <c r="T314" s="121">
        <f t="shared" si="596"/>
        <v>1418522.2143234741</v>
      </c>
      <c r="U314" s="121">
        <f t="shared" si="597"/>
        <v>776443.85114146117</v>
      </c>
      <c r="V314" s="52"/>
      <c r="W314" s="121">
        <f t="shared" si="646"/>
        <v>24985368</v>
      </c>
      <c r="X314" s="567">
        <f t="shared" si="647"/>
        <v>6.1578822543089863E-2</v>
      </c>
      <c r="Y314" s="121">
        <f t="shared" si="648"/>
        <v>4329964.2744000005</v>
      </c>
    </row>
    <row r="315" spans="1:190">
      <c r="A315" s="676"/>
      <c r="B315" s="677"/>
      <c r="C315" s="289"/>
      <c r="D315" s="127"/>
      <c r="E315" s="127"/>
      <c r="F315" s="48"/>
      <c r="G315" s="48"/>
      <c r="H315" s="127"/>
      <c r="I315" s="127"/>
      <c r="J315" s="127"/>
      <c r="K315" s="25"/>
      <c r="L315" s="127"/>
      <c r="M315" s="48"/>
      <c r="N315" s="61"/>
      <c r="O315" s="48"/>
      <c r="P315" s="25"/>
      <c r="Q315" s="25"/>
      <c r="R315" s="677"/>
      <c r="S315" s="127"/>
      <c r="T315" s="127"/>
      <c r="U315" s="127"/>
      <c r="V315" s="88"/>
      <c r="W315" s="127"/>
      <c r="X315" s="623"/>
      <c r="Y315" s="127"/>
    </row>
    <row r="316" spans="1:190">
      <c r="A316" s="676"/>
      <c r="B316" s="677"/>
      <c r="C316" s="289"/>
      <c r="D316" s="127"/>
      <c r="E316" s="127"/>
      <c r="F316" s="48"/>
      <c r="G316" s="48"/>
      <c r="H316" s="127"/>
      <c r="I316" s="127"/>
      <c r="J316" s="127"/>
      <c r="K316" s="25"/>
      <c r="L316" s="127"/>
      <c r="M316" s="48"/>
      <c r="N316" s="61"/>
      <c r="O316" s="48"/>
      <c r="P316" s="25"/>
      <c r="Q316" s="25"/>
      <c r="R316" s="677"/>
      <c r="S316" s="127"/>
      <c r="T316" s="127"/>
      <c r="U316" s="127"/>
      <c r="V316" s="88"/>
      <c r="W316" s="127"/>
      <c r="X316" s="623"/>
      <c r="Y316" s="127"/>
    </row>
    <row r="317" spans="1:190">
      <c r="B317" s="24"/>
      <c r="C317" s="54">
        <f>AVERAGE(C3:C262)</f>
        <v>62840.77528076923</v>
      </c>
      <c r="D317" s="54"/>
      <c r="I317" s="25"/>
      <c r="J317" s="25"/>
      <c r="L317" s="54">
        <f>AVERAGE(L3:L157)</f>
        <v>151592.86387662339</v>
      </c>
      <c r="M317" s="54"/>
      <c r="N317" s="54"/>
      <c r="O317" s="54"/>
      <c r="Q317" s="80" t="s">
        <v>141</v>
      </c>
      <c r="R317" s="54">
        <f>AVERAGE(R3:R156)</f>
        <v>1097483.0327324676</v>
      </c>
      <c r="S317" s="54">
        <f>AVERAGE(S3:S156)</f>
        <v>170765.52212287582</v>
      </c>
      <c r="T317"/>
      <c r="U317"/>
      <c r="V317"/>
      <c r="W317"/>
      <c r="X317"/>
      <c r="Y317" s="25"/>
    </row>
    <row r="318" spans="1:190">
      <c r="A318"/>
      <c r="B318"/>
      <c r="C318"/>
      <c r="D318"/>
      <c r="E318"/>
      <c r="F318"/>
      <c r="G318"/>
      <c r="H318"/>
      <c r="I318"/>
      <c r="J318" s="25"/>
      <c r="K318" s="71" t="s">
        <v>1011</v>
      </c>
      <c r="L318" s="71" t="s">
        <v>1012</v>
      </c>
      <c r="M318" s="71"/>
      <c r="N318" s="71"/>
      <c r="O318" s="71"/>
      <c r="P318" s="71" t="s">
        <v>254</v>
      </c>
      <c r="Q318" s="71" t="s">
        <v>327</v>
      </c>
      <c r="R318" s="53" t="s">
        <v>640</v>
      </c>
      <c r="S318" s="71" t="s">
        <v>328</v>
      </c>
      <c r="T318" s="71" t="s">
        <v>321</v>
      </c>
      <c r="U318" s="71" t="s">
        <v>322</v>
      </c>
      <c r="W318" s="71"/>
      <c r="Y318" s="25"/>
    </row>
    <row r="319" spans="1:190">
      <c r="A319"/>
      <c r="B319"/>
      <c r="C319"/>
      <c r="D319"/>
      <c r="E319"/>
      <c r="F319"/>
      <c r="G319"/>
      <c r="H319"/>
      <c r="I319"/>
      <c r="J319" s="25"/>
      <c r="Y319" s="25"/>
    </row>
    <row r="320" spans="1:190" ht="14" thickBot="1">
      <c r="A320"/>
      <c r="B320"/>
      <c r="C320"/>
      <c r="D320"/>
      <c r="E320"/>
      <c r="F320"/>
      <c r="G320"/>
      <c r="H320"/>
      <c r="I320"/>
      <c r="J320" s="25"/>
      <c r="Y320" s="25"/>
    </row>
    <row r="321" spans="1:25">
      <c r="A321"/>
      <c r="B321"/>
      <c r="C321"/>
      <c r="D321"/>
      <c r="E321"/>
      <c r="F321"/>
      <c r="G321"/>
      <c r="H321"/>
      <c r="I321"/>
      <c r="J321" s="25"/>
      <c r="K321" s="144"/>
      <c r="L321" s="145">
        <f>AVERAGE(L132:L143)</f>
        <v>184736.41666666666</v>
      </c>
      <c r="M321" s="145"/>
      <c r="N321" s="145"/>
      <c r="O321" s="145"/>
      <c r="P321" s="144"/>
      <c r="Q321" s="146"/>
      <c r="R321" s="145">
        <f>AVERAGE(R132:R143)</f>
        <v>992762.25</v>
      </c>
      <c r="S321" s="145">
        <f>AVERAGE(S132:S143)</f>
        <v>140861.75</v>
      </c>
      <c r="T321" s="144"/>
      <c r="U321" s="147"/>
      <c r="W321" s="144"/>
      <c r="Y321" s="25"/>
    </row>
    <row r="322" spans="1:25">
      <c r="A322"/>
      <c r="B322"/>
      <c r="C322"/>
      <c r="D322"/>
      <c r="E322"/>
      <c r="F322"/>
      <c r="G322"/>
      <c r="H322"/>
      <c r="I322"/>
      <c r="J322" s="25"/>
      <c r="K322" s="141"/>
      <c r="L322" s="25"/>
      <c r="M322" s="25"/>
      <c r="N322" s="25"/>
      <c r="O322" s="25"/>
      <c r="P322" s="25"/>
      <c r="Q322" s="25"/>
      <c r="R322" s="95"/>
      <c r="S322" s="25"/>
      <c r="T322" s="25"/>
      <c r="U322" s="25"/>
      <c r="W322" s="25"/>
      <c r="Y322" s="25"/>
    </row>
    <row r="323" spans="1:25">
      <c r="A323"/>
      <c r="B323"/>
      <c r="C323"/>
      <c r="D323"/>
      <c r="E323"/>
      <c r="F323"/>
      <c r="G323"/>
      <c r="H323"/>
      <c r="I323"/>
      <c r="J323" s="25"/>
      <c r="K323" s="141"/>
      <c r="L323" s="25"/>
      <c r="M323" s="25"/>
      <c r="N323" s="25"/>
      <c r="O323" s="25"/>
      <c r="P323" s="25"/>
      <c r="Q323" s="25"/>
      <c r="R323" s="95"/>
      <c r="S323" s="25"/>
      <c r="T323" s="25"/>
      <c r="U323" s="25"/>
      <c r="W323" s="25"/>
      <c r="Y323" s="25"/>
    </row>
    <row r="324" spans="1:25">
      <c r="A324"/>
      <c r="B324"/>
      <c r="C324"/>
      <c r="D324"/>
      <c r="E324"/>
      <c r="F324"/>
      <c r="G324"/>
      <c r="H324"/>
      <c r="I324"/>
      <c r="J324" s="25"/>
      <c r="K324" s="141"/>
      <c r="L324" s="25"/>
      <c r="M324" s="25"/>
      <c r="N324" s="25"/>
      <c r="O324" s="25"/>
      <c r="P324" s="25"/>
      <c r="Q324" s="25"/>
      <c r="R324" s="95"/>
      <c r="S324" s="25"/>
      <c r="T324" s="25"/>
      <c r="U324" s="25"/>
      <c r="W324" s="25"/>
      <c r="Y324" s="25"/>
    </row>
    <row r="325" spans="1:25">
      <c r="A325"/>
      <c r="B325"/>
      <c r="C325"/>
      <c r="D325"/>
      <c r="E325"/>
      <c r="F325"/>
      <c r="G325"/>
      <c r="H325"/>
      <c r="I325"/>
      <c r="J325" s="358" t="s">
        <v>1534</v>
      </c>
      <c r="K325" s="678" t="s">
        <v>1012</v>
      </c>
      <c r="L325" s="71" t="s">
        <v>1535</v>
      </c>
      <c r="M325" s="71"/>
      <c r="N325" s="71"/>
      <c r="O325" s="71"/>
      <c r="P325" s="25"/>
      <c r="Q325" s="25"/>
      <c r="R325" s="95" t="s">
        <v>1376</v>
      </c>
      <c r="S325" s="95" t="s">
        <v>1536</v>
      </c>
      <c r="T325" s="25"/>
      <c r="U325" s="25"/>
      <c r="W325" s="25"/>
      <c r="Y325" s="25"/>
    </row>
    <row r="326" spans="1:25">
      <c r="A326"/>
      <c r="B326"/>
      <c r="C326"/>
      <c r="D326"/>
      <c r="E326"/>
      <c r="F326"/>
      <c r="G326"/>
      <c r="H326"/>
      <c r="I326"/>
      <c r="J326" s="141">
        <f t="shared" ref="J326:J357" si="676">C132</f>
        <v>109414</v>
      </c>
      <c r="K326" s="25">
        <f t="shared" ref="K326:K357" si="677">L132</f>
        <v>527293</v>
      </c>
      <c r="L326" s="25">
        <v>86510.580645161332</v>
      </c>
      <c r="M326" s="25"/>
      <c r="N326" s="25"/>
      <c r="O326" s="25"/>
      <c r="P326" s="25">
        <f t="shared" ref="P326:P357" si="678">$A$491+1.88*$B$491</f>
        <v>492158.32341085264</v>
      </c>
      <c r="Q326" s="25">
        <f t="shared" ref="Q326:Q357" si="679">$A$491-1.88*$B$491</f>
        <v>-282851.09860465111</v>
      </c>
      <c r="R326" s="95">
        <f t="shared" ref="R326:R353" si="680">L326+$B$491*1.88</f>
        <v>474015.29165291321</v>
      </c>
      <c r="S326" s="95">
        <f t="shared" ref="S326:S357" si="681">L326-$B$491*1.88</f>
        <v>-300994.13036259054</v>
      </c>
      <c r="T326" s="25">
        <f t="shared" ref="T326:T389" si="682">$R$317+1.88*$S$317</f>
        <v>1418522.2143234741</v>
      </c>
      <c r="U326" s="25">
        <f t="shared" ref="U326:U389" si="683">$R$317-1.88*$S$317</f>
        <v>776443.85114146117</v>
      </c>
      <c r="W326" s="25"/>
      <c r="Y326" s="25"/>
    </row>
    <row r="327" spans="1:25">
      <c r="A327"/>
      <c r="B327"/>
      <c r="C327"/>
      <c r="D327"/>
      <c r="E327"/>
      <c r="F327"/>
      <c r="G327"/>
      <c r="H327"/>
      <c r="I327"/>
      <c r="J327" s="141">
        <f t="shared" si="676"/>
        <v>147427</v>
      </c>
      <c r="K327" s="25">
        <f t="shared" si="677"/>
        <v>38013</v>
      </c>
      <c r="L327" s="25">
        <v>89378.064738598492</v>
      </c>
      <c r="M327" s="25"/>
      <c r="N327" s="25"/>
      <c r="O327" s="25"/>
      <c r="P327" s="25">
        <f t="shared" si="678"/>
        <v>492158.32341085264</v>
      </c>
      <c r="Q327" s="25">
        <f t="shared" si="679"/>
        <v>-282851.09860465111</v>
      </c>
      <c r="R327" s="95">
        <f t="shared" si="680"/>
        <v>476882.77574635035</v>
      </c>
      <c r="S327" s="95">
        <f t="shared" si="681"/>
        <v>-298126.6462691534</v>
      </c>
      <c r="T327" s="25">
        <f t="shared" si="682"/>
        <v>1418522.2143234741</v>
      </c>
      <c r="U327" s="25">
        <f t="shared" si="683"/>
        <v>776443.85114146117</v>
      </c>
      <c r="W327" s="25"/>
      <c r="Y327" s="25"/>
    </row>
    <row r="328" spans="1:25">
      <c r="A328"/>
      <c r="B328"/>
      <c r="C328"/>
      <c r="D328"/>
      <c r="E328"/>
      <c r="F328"/>
      <c r="G328"/>
      <c r="H328"/>
      <c r="I328"/>
      <c r="J328" s="141">
        <f t="shared" si="676"/>
        <v>8520</v>
      </c>
      <c r="K328" s="25">
        <f t="shared" si="677"/>
        <v>138907</v>
      </c>
      <c r="L328" s="25">
        <v>92245.548832035638</v>
      </c>
      <c r="M328" s="25"/>
      <c r="N328" s="25"/>
      <c r="O328" s="25"/>
      <c r="P328" s="25">
        <f t="shared" si="678"/>
        <v>492158.32341085264</v>
      </c>
      <c r="Q328" s="25">
        <f t="shared" si="679"/>
        <v>-282851.09860465111</v>
      </c>
      <c r="R328" s="95">
        <f t="shared" si="680"/>
        <v>479750.2598397875</v>
      </c>
      <c r="S328" s="95">
        <f t="shared" si="681"/>
        <v>-295259.16217571625</v>
      </c>
      <c r="T328" s="25">
        <f t="shared" si="682"/>
        <v>1418522.2143234741</v>
      </c>
      <c r="U328" s="25">
        <f t="shared" si="683"/>
        <v>776443.85114146117</v>
      </c>
      <c r="W328" s="25"/>
      <c r="Y328" s="25"/>
    </row>
    <row r="329" spans="1:25">
      <c r="A329"/>
      <c r="B329"/>
      <c r="C329"/>
      <c r="D329"/>
      <c r="E329"/>
      <c r="F329"/>
      <c r="G329"/>
      <c r="H329"/>
      <c r="I329"/>
      <c r="J329" s="141">
        <f t="shared" si="676"/>
        <v>214483</v>
      </c>
      <c r="K329" s="25">
        <f t="shared" si="677"/>
        <v>205963</v>
      </c>
      <c r="L329" s="25">
        <v>95113.032925472784</v>
      </c>
      <c r="M329" s="25"/>
      <c r="N329" s="25"/>
      <c r="O329" s="25"/>
      <c r="P329" s="25">
        <f t="shared" si="678"/>
        <v>492158.32341085264</v>
      </c>
      <c r="Q329" s="25">
        <f t="shared" si="679"/>
        <v>-282851.09860465111</v>
      </c>
      <c r="R329" s="95">
        <f t="shared" si="680"/>
        <v>482617.74393322464</v>
      </c>
      <c r="S329" s="95">
        <f t="shared" si="681"/>
        <v>-292391.6780822791</v>
      </c>
      <c r="T329" s="25">
        <f t="shared" si="682"/>
        <v>1418522.2143234741</v>
      </c>
      <c r="U329" s="25">
        <f t="shared" si="683"/>
        <v>776443.85114146117</v>
      </c>
      <c r="W329" s="25"/>
      <c r="Y329" s="25"/>
    </row>
    <row r="330" spans="1:25">
      <c r="A330"/>
      <c r="B330"/>
      <c r="C330"/>
      <c r="D330"/>
      <c r="E330"/>
      <c r="F330"/>
      <c r="G330"/>
      <c r="H330"/>
      <c r="I330"/>
      <c r="J330" s="141">
        <f t="shared" si="676"/>
        <v>-61164</v>
      </c>
      <c r="K330" s="25">
        <f t="shared" si="677"/>
        <v>275647</v>
      </c>
      <c r="L330" s="25">
        <v>97980.517018909944</v>
      </c>
      <c r="M330" s="25"/>
      <c r="N330" s="25"/>
      <c r="O330" s="25"/>
      <c r="P330" s="25">
        <f t="shared" si="678"/>
        <v>492158.32341085264</v>
      </c>
      <c r="Q330" s="25">
        <f t="shared" si="679"/>
        <v>-282851.09860465111</v>
      </c>
      <c r="R330" s="95">
        <f t="shared" si="680"/>
        <v>485485.22802666179</v>
      </c>
      <c r="S330" s="95">
        <f t="shared" si="681"/>
        <v>-289524.19398884196</v>
      </c>
      <c r="T330" s="25">
        <f t="shared" si="682"/>
        <v>1418522.2143234741</v>
      </c>
      <c r="U330" s="25">
        <f t="shared" si="683"/>
        <v>776443.85114146117</v>
      </c>
      <c r="W330" s="25"/>
      <c r="Y330" s="25"/>
    </row>
    <row r="331" spans="1:25">
      <c r="A331"/>
      <c r="B331"/>
      <c r="C331"/>
      <c r="D331"/>
      <c r="E331"/>
      <c r="F331"/>
      <c r="G331"/>
      <c r="H331"/>
      <c r="I331"/>
      <c r="J331" s="141">
        <f t="shared" si="676"/>
        <v>253193</v>
      </c>
      <c r="K331" s="25">
        <f t="shared" si="677"/>
        <v>314357</v>
      </c>
      <c r="L331" s="25">
        <v>100848.00111234709</v>
      </c>
      <c r="M331" s="25"/>
      <c r="N331" s="25"/>
      <c r="O331" s="25"/>
      <c r="P331" s="25">
        <f t="shared" si="678"/>
        <v>492158.32341085264</v>
      </c>
      <c r="Q331" s="25">
        <f t="shared" si="679"/>
        <v>-282851.09860465111</v>
      </c>
      <c r="R331" s="95">
        <f t="shared" si="680"/>
        <v>488352.71212009899</v>
      </c>
      <c r="S331" s="95">
        <f t="shared" si="681"/>
        <v>-286656.70989540475</v>
      </c>
      <c r="T331" s="25">
        <f t="shared" si="682"/>
        <v>1418522.2143234741</v>
      </c>
      <c r="U331" s="25">
        <f t="shared" si="683"/>
        <v>776443.85114146117</v>
      </c>
      <c r="W331" s="25"/>
      <c r="Y331" s="25"/>
    </row>
    <row r="332" spans="1:25">
      <c r="A332"/>
      <c r="B332"/>
      <c r="C332"/>
      <c r="D332"/>
      <c r="E332"/>
      <c r="F332"/>
      <c r="G332"/>
      <c r="H332"/>
      <c r="I332"/>
      <c r="J332" s="141">
        <f t="shared" si="676"/>
        <v>51239</v>
      </c>
      <c r="K332" s="25">
        <f t="shared" si="677"/>
        <v>201954</v>
      </c>
      <c r="L332" s="25">
        <v>103715.48520578424</v>
      </c>
      <c r="M332" s="25"/>
      <c r="N332" s="25"/>
      <c r="O332" s="25"/>
      <c r="P332" s="25">
        <f t="shared" si="678"/>
        <v>492158.32341085264</v>
      </c>
      <c r="Q332" s="25">
        <f t="shared" si="679"/>
        <v>-282851.09860465111</v>
      </c>
      <c r="R332" s="95">
        <f t="shared" si="680"/>
        <v>491220.19621353608</v>
      </c>
      <c r="S332" s="95">
        <f t="shared" si="681"/>
        <v>-283789.22580196767</v>
      </c>
      <c r="T332" s="25">
        <f t="shared" si="682"/>
        <v>1418522.2143234741</v>
      </c>
      <c r="U332" s="25">
        <f t="shared" si="683"/>
        <v>776443.85114146117</v>
      </c>
      <c r="W332" s="25"/>
      <c r="Y332" s="25"/>
    </row>
    <row r="333" spans="1:25">
      <c r="A333"/>
      <c r="B333"/>
      <c r="C333"/>
      <c r="D333"/>
      <c r="E333"/>
      <c r="F333"/>
      <c r="G333"/>
      <c r="H333"/>
      <c r="I333"/>
      <c r="J333" s="141">
        <f t="shared" si="676"/>
        <v>149035</v>
      </c>
      <c r="K333" s="25">
        <f t="shared" si="677"/>
        <v>97796</v>
      </c>
      <c r="L333" s="25">
        <v>106582.9692992214</v>
      </c>
      <c r="M333" s="25"/>
      <c r="N333" s="25"/>
      <c r="O333" s="25"/>
      <c r="P333" s="25">
        <f t="shared" si="678"/>
        <v>492158.32341085264</v>
      </c>
      <c r="Q333" s="25">
        <f t="shared" si="679"/>
        <v>-282851.09860465111</v>
      </c>
      <c r="R333" s="95">
        <f t="shared" si="680"/>
        <v>494087.68030697329</v>
      </c>
      <c r="S333" s="95">
        <f t="shared" si="681"/>
        <v>-280921.74170853046</v>
      </c>
      <c r="T333" s="25">
        <f t="shared" si="682"/>
        <v>1418522.2143234741</v>
      </c>
      <c r="U333" s="25">
        <f t="shared" si="683"/>
        <v>776443.85114146117</v>
      </c>
      <c r="W333" s="25"/>
      <c r="Y333" s="25"/>
    </row>
    <row r="334" spans="1:25">
      <c r="A334"/>
      <c r="B334"/>
      <c r="C334"/>
      <c r="D334"/>
      <c r="E334"/>
      <c r="F334"/>
      <c r="G334"/>
      <c r="H334"/>
      <c r="I334"/>
      <c r="J334" s="141">
        <f t="shared" si="676"/>
        <v>43197</v>
      </c>
      <c r="K334" s="25">
        <f t="shared" si="677"/>
        <v>105838</v>
      </c>
      <c r="L334" s="25">
        <v>109450.45339265854</v>
      </c>
      <c r="M334" s="25"/>
      <c r="N334" s="25"/>
      <c r="O334" s="25"/>
      <c r="P334" s="25">
        <f t="shared" si="678"/>
        <v>492158.32341085264</v>
      </c>
      <c r="Q334" s="25">
        <f t="shared" si="679"/>
        <v>-282851.09860465111</v>
      </c>
      <c r="R334" s="95">
        <f t="shared" si="680"/>
        <v>496955.16440041043</v>
      </c>
      <c r="S334" s="95">
        <f t="shared" si="681"/>
        <v>-278054.25761509332</v>
      </c>
      <c r="T334" s="25">
        <f t="shared" si="682"/>
        <v>1418522.2143234741</v>
      </c>
      <c r="U334" s="25">
        <f t="shared" si="683"/>
        <v>776443.85114146117</v>
      </c>
      <c r="W334" s="25"/>
      <c r="Y334" s="25"/>
    </row>
    <row r="335" spans="1:25">
      <c r="A335"/>
      <c r="B335"/>
      <c r="C335"/>
      <c r="D335"/>
      <c r="E335"/>
      <c r="F335"/>
      <c r="G335"/>
      <c r="H335"/>
      <c r="I335"/>
      <c r="J335" s="141">
        <f t="shared" si="676"/>
        <v>180995</v>
      </c>
      <c r="K335" s="25">
        <f t="shared" si="677"/>
        <v>137798</v>
      </c>
      <c r="L335" s="25">
        <v>112317.9374860957</v>
      </c>
      <c r="M335" s="25"/>
      <c r="N335" s="25"/>
      <c r="O335" s="25"/>
      <c r="P335" s="25">
        <f t="shared" si="678"/>
        <v>492158.32341085264</v>
      </c>
      <c r="Q335" s="25">
        <f t="shared" si="679"/>
        <v>-282851.09860465111</v>
      </c>
      <c r="R335" s="95">
        <f t="shared" si="680"/>
        <v>499822.64849384758</v>
      </c>
      <c r="S335" s="95">
        <f t="shared" si="681"/>
        <v>-275186.77352165617</v>
      </c>
      <c r="T335" s="25">
        <f t="shared" si="682"/>
        <v>1418522.2143234741</v>
      </c>
      <c r="U335" s="25">
        <f t="shared" si="683"/>
        <v>776443.85114146117</v>
      </c>
      <c r="W335" s="25"/>
      <c r="Y335" s="25"/>
    </row>
    <row r="336" spans="1:25">
      <c r="A336"/>
      <c r="B336"/>
      <c r="C336"/>
      <c r="D336"/>
      <c r="E336"/>
      <c r="F336"/>
      <c r="G336"/>
      <c r="H336"/>
      <c r="I336"/>
      <c r="J336" s="141">
        <f t="shared" si="676"/>
        <v>87008</v>
      </c>
      <c r="K336" s="25">
        <f t="shared" si="677"/>
        <v>93987</v>
      </c>
      <c r="L336" s="25">
        <v>115185.42157953285</v>
      </c>
      <c r="M336" s="25"/>
      <c r="N336" s="25"/>
      <c r="O336" s="25"/>
      <c r="P336" s="25">
        <f t="shared" si="678"/>
        <v>492158.32341085264</v>
      </c>
      <c r="Q336" s="25">
        <f t="shared" si="679"/>
        <v>-282851.09860465111</v>
      </c>
      <c r="R336" s="95">
        <f t="shared" si="680"/>
        <v>502690.13258728472</v>
      </c>
      <c r="S336" s="95">
        <f t="shared" si="681"/>
        <v>-272319.28942821902</v>
      </c>
      <c r="T336" s="25">
        <f t="shared" si="682"/>
        <v>1418522.2143234741</v>
      </c>
      <c r="U336" s="25">
        <f t="shared" si="683"/>
        <v>776443.85114146117</v>
      </c>
      <c r="W336" s="25"/>
      <c r="Y336" s="25"/>
    </row>
    <row r="337" spans="1:25">
      <c r="A337"/>
      <c r="B337"/>
      <c r="C337"/>
      <c r="D337"/>
      <c r="E337"/>
      <c r="F337"/>
      <c r="G337"/>
      <c r="H337"/>
      <c r="I337"/>
      <c r="J337" s="141">
        <f t="shared" si="676"/>
        <v>166292</v>
      </c>
      <c r="K337" s="25">
        <f t="shared" si="677"/>
        <v>79284</v>
      </c>
      <c r="L337" s="25">
        <v>118052.90567297</v>
      </c>
      <c r="M337" s="25"/>
      <c r="N337" s="25"/>
      <c r="O337" s="25"/>
      <c r="P337" s="25">
        <f t="shared" si="678"/>
        <v>492158.32341085264</v>
      </c>
      <c r="Q337" s="25">
        <f t="shared" si="679"/>
        <v>-282851.09860465111</v>
      </c>
      <c r="R337" s="95">
        <f t="shared" si="680"/>
        <v>505557.61668072187</v>
      </c>
      <c r="S337" s="95">
        <f t="shared" si="681"/>
        <v>-269451.80533478188</v>
      </c>
      <c r="T337" s="25">
        <f t="shared" si="682"/>
        <v>1418522.2143234741</v>
      </c>
      <c r="U337" s="25">
        <f t="shared" si="683"/>
        <v>776443.85114146117</v>
      </c>
      <c r="W337" s="25"/>
      <c r="Y337" s="25"/>
    </row>
    <row r="338" spans="1:25">
      <c r="A338"/>
      <c r="B338"/>
      <c r="C338"/>
      <c r="D338"/>
      <c r="E338"/>
      <c r="F338"/>
      <c r="G338"/>
      <c r="H338"/>
      <c r="I338"/>
      <c r="J338" s="141">
        <f t="shared" si="676"/>
        <v>-64578</v>
      </c>
      <c r="K338" s="25">
        <f t="shared" si="677"/>
        <v>230870</v>
      </c>
      <c r="L338" s="25">
        <v>120920.38976640714</v>
      </c>
      <c r="M338" s="25"/>
      <c r="N338" s="25"/>
      <c r="O338" s="25"/>
      <c r="P338" s="25">
        <f t="shared" si="678"/>
        <v>492158.32341085264</v>
      </c>
      <c r="Q338" s="25">
        <f t="shared" si="679"/>
        <v>-282851.09860465111</v>
      </c>
      <c r="R338" s="95">
        <f t="shared" si="680"/>
        <v>508425.10077415901</v>
      </c>
      <c r="S338" s="95">
        <f t="shared" si="681"/>
        <v>-266584.32124134473</v>
      </c>
      <c r="T338" s="25">
        <f t="shared" si="682"/>
        <v>1418522.2143234741</v>
      </c>
      <c r="U338" s="25">
        <f t="shared" si="683"/>
        <v>776443.85114146117</v>
      </c>
      <c r="W338" s="25"/>
      <c r="Y338" s="25"/>
    </row>
    <row r="339" spans="1:25">
      <c r="A339"/>
      <c r="B339"/>
      <c r="C339"/>
      <c r="D339"/>
      <c r="E339"/>
      <c r="F339"/>
      <c r="G339"/>
      <c r="H339"/>
      <c r="I339"/>
      <c r="J339" s="141">
        <f t="shared" si="676"/>
        <v>112491</v>
      </c>
      <c r="K339" s="25">
        <f t="shared" si="677"/>
        <v>177069</v>
      </c>
      <c r="L339" s="25">
        <v>123787.8738598443</v>
      </c>
      <c r="M339" s="25"/>
      <c r="N339" s="25"/>
      <c r="O339" s="25"/>
      <c r="P339" s="25">
        <f t="shared" si="678"/>
        <v>492158.32341085264</v>
      </c>
      <c r="Q339" s="25">
        <f t="shared" si="679"/>
        <v>-282851.09860465111</v>
      </c>
      <c r="R339" s="95">
        <f t="shared" si="680"/>
        <v>511292.58486759616</v>
      </c>
      <c r="S339" s="95">
        <f t="shared" si="681"/>
        <v>-263716.83714790759</v>
      </c>
      <c r="T339" s="25">
        <f t="shared" si="682"/>
        <v>1418522.2143234741</v>
      </c>
      <c r="U339" s="25">
        <f t="shared" si="683"/>
        <v>776443.85114146117</v>
      </c>
      <c r="W339" s="25"/>
      <c r="Y339" s="25"/>
    </row>
    <row r="340" spans="1:25">
      <c r="A340"/>
      <c r="B340"/>
      <c r="C340"/>
      <c r="D340"/>
      <c r="E340"/>
      <c r="F340"/>
      <c r="G340"/>
      <c r="H340"/>
      <c r="I340"/>
      <c r="J340" s="141">
        <f t="shared" si="676"/>
        <v>-10286</v>
      </c>
      <c r="K340" s="25">
        <f t="shared" si="677"/>
        <v>122777</v>
      </c>
      <c r="L340" s="25">
        <v>126655.35795328145</v>
      </c>
      <c r="M340" s="25"/>
      <c r="N340" s="25"/>
      <c r="O340" s="25"/>
      <c r="P340" s="25">
        <f t="shared" si="678"/>
        <v>492158.32341085264</v>
      </c>
      <c r="Q340" s="25">
        <f t="shared" si="679"/>
        <v>-282851.09860465111</v>
      </c>
      <c r="R340" s="95">
        <f t="shared" si="680"/>
        <v>514160.06896103331</v>
      </c>
      <c r="S340" s="95">
        <f t="shared" si="681"/>
        <v>-260849.35305447044</v>
      </c>
      <c r="T340" s="25">
        <f t="shared" si="682"/>
        <v>1418522.2143234741</v>
      </c>
      <c r="U340" s="25">
        <f t="shared" si="683"/>
        <v>776443.85114146117</v>
      </c>
      <c r="W340" s="25"/>
      <c r="Y340" s="25"/>
    </row>
    <row r="341" spans="1:25">
      <c r="A341"/>
      <c r="B341"/>
      <c r="C341"/>
      <c r="D341"/>
      <c r="E341"/>
      <c r="F341"/>
      <c r="G341"/>
      <c r="H341"/>
      <c r="I341"/>
      <c r="J341" s="141">
        <f t="shared" si="676"/>
        <v>87291</v>
      </c>
      <c r="K341" s="25">
        <f t="shared" si="677"/>
        <v>97577</v>
      </c>
      <c r="L341" s="25">
        <v>129522.84204671861</v>
      </c>
      <c r="M341" s="25"/>
      <c r="N341" s="25"/>
      <c r="O341" s="25"/>
      <c r="P341" s="25">
        <f t="shared" si="678"/>
        <v>492158.32341085264</v>
      </c>
      <c r="Q341" s="25">
        <f t="shared" si="679"/>
        <v>-282851.09860465111</v>
      </c>
      <c r="R341" s="95">
        <f t="shared" si="680"/>
        <v>517027.55305447045</v>
      </c>
      <c r="S341" s="95">
        <f t="shared" si="681"/>
        <v>-257981.86896103327</v>
      </c>
      <c r="T341" s="25">
        <f t="shared" si="682"/>
        <v>1418522.2143234741</v>
      </c>
      <c r="U341" s="25">
        <f t="shared" si="683"/>
        <v>776443.85114146117</v>
      </c>
      <c r="Y341" s="25"/>
    </row>
    <row r="342" spans="1:25">
      <c r="A342"/>
      <c r="B342"/>
      <c r="C342"/>
      <c r="D342"/>
      <c r="E342"/>
      <c r="F342"/>
      <c r="G342"/>
      <c r="H342"/>
      <c r="I342"/>
      <c r="J342" s="141">
        <f t="shared" si="676"/>
        <v>110829</v>
      </c>
      <c r="K342" s="25">
        <f t="shared" si="677"/>
        <v>23538</v>
      </c>
      <c r="L342" s="25">
        <v>132390.32614015575</v>
      </c>
      <c r="M342" s="25"/>
      <c r="N342" s="25"/>
      <c r="O342" s="25"/>
      <c r="P342" s="25">
        <f t="shared" si="678"/>
        <v>492158.32341085264</v>
      </c>
      <c r="Q342" s="25">
        <f t="shared" si="679"/>
        <v>-282851.09860465111</v>
      </c>
      <c r="R342" s="95">
        <f t="shared" si="680"/>
        <v>519895.03714790766</v>
      </c>
      <c r="S342" s="95">
        <f t="shared" si="681"/>
        <v>-255114.38486759612</v>
      </c>
      <c r="T342" s="25">
        <f t="shared" si="682"/>
        <v>1418522.2143234741</v>
      </c>
      <c r="U342" s="25">
        <f t="shared" si="683"/>
        <v>776443.85114146117</v>
      </c>
      <c r="Y342" s="25"/>
    </row>
    <row r="343" spans="1:25">
      <c r="A343"/>
      <c r="B343"/>
      <c r="C343"/>
      <c r="D343"/>
      <c r="E343"/>
      <c r="F343"/>
      <c r="G343"/>
      <c r="H343"/>
      <c r="I343"/>
      <c r="J343" s="141">
        <f t="shared" si="676"/>
        <v>277182</v>
      </c>
      <c r="K343" s="25">
        <f t="shared" si="677"/>
        <v>166353</v>
      </c>
      <c r="L343" s="25">
        <v>135257.8102335929</v>
      </c>
      <c r="M343" s="25"/>
      <c r="N343" s="25"/>
      <c r="O343" s="25"/>
      <c r="P343" s="25">
        <f t="shared" si="678"/>
        <v>492158.32341085264</v>
      </c>
      <c r="Q343" s="25">
        <f t="shared" si="679"/>
        <v>-282851.09860465111</v>
      </c>
      <c r="R343" s="95">
        <f t="shared" si="680"/>
        <v>522762.52124134474</v>
      </c>
      <c r="S343" s="95">
        <f t="shared" si="681"/>
        <v>-252246.90077415897</v>
      </c>
      <c r="T343" s="25">
        <f t="shared" si="682"/>
        <v>1418522.2143234741</v>
      </c>
      <c r="U343" s="25">
        <f t="shared" si="683"/>
        <v>776443.85114146117</v>
      </c>
      <c r="Y343" s="25"/>
    </row>
    <row r="344" spans="1:25">
      <c r="A344"/>
      <c r="B344"/>
      <c r="C344"/>
      <c r="D344"/>
      <c r="E344"/>
      <c r="F344"/>
      <c r="G344"/>
      <c r="H344"/>
      <c r="I344"/>
      <c r="J344" s="141">
        <f t="shared" si="676"/>
        <v>-26536</v>
      </c>
      <c r="K344" s="25">
        <f t="shared" si="677"/>
        <v>303718</v>
      </c>
      <c r="L344" s="25">
        <v>138125.29432703005</v>
      </c>
      <c r="M344" s="25"/>
      <c r="N344" s="25"/>
      <c r="O344" s="25"/>
      <c r="P344" s="25">
        <f t="shared" si="678"/>
        <v>492158.32341085264</v>
      </c>
      <c r="Q344" s="25">
        <f t="shared" si="679"/>
        <v>-282851.09860465111</v>
      </c>
      <c r="R344" s="95">
        <f t="shared" si="680"/>
        <v>525630.00533478195</v>
      </c>
      <c r="S344" s="95">
        <f t="shared" si="681"/>
        <v>-249379.41668072183</v>
      </c>
      <c r="T344" s="25">
        <f t="shared" si="682"/>
        <v>1418522.2143234741</v>
      </c>
      <c r="U344" s="25">
        <f t="shared" si="683"/>
        <v>776443.85114146117</v>
      </c>
      <c r="Y344" s="25"/>
    </row>
    <row r="345" spans="1:25">
      <c r="A345"/>
      <c r="B345"/>
      <c r="C345"/>
      <c r="D345"/>
      <c r="E345"/>
      <c r="F345"/>
      <c r="G345"/>
      <c r="H345"/>
      <c r="I345"/>
      <c r="J345" s="141">
        <f t="shared" si="676"/>
        <v>457698</v>
      </c>
      <c r="K345" s="25">
        <f t="shared" si="677"/>
        <v>484234</v>
      </c>
      <c r="L345" s="25">
        <v>140992.77842046722</v>
      </c>
      <c r="M345" s="25"/>
      <c r="N345" s="25"/>
      <c r="O345" s="25"/>
      <c r="P345" s="25">
        <f t="shared" si="678"/>
        <v>492158.32341085264</v>
      </c>
      <c r="Q345" s="25">
        <f t="shared" si="679"/>
        <v>-282851.09860465111</v>
      </c>
      <c r="R345" s="95">
        <f t="shared" si="680"/>
        <v>528497.48942821915</v>
      </c>
      <c r="S345" s="95">
        <f t="shared" si="681"/>
        <v>-246511.93258728465</v>
      </c>
      <c r="T345" s="25">
        <f t="shared" si="682"/>
        <v>1418522.2143234741</v>
      </c>
      <c r="U345" s="25">
        <f t="shared" si="683"/>
        <v>776443.85114146117</v>
      </c>
      <c r="Y345" s="25"/>
    </row>
    <row r="346" spans="1:25">
      <c r="A346"/>
      <c r="B346"/>
      <c r="C346"/>
      <c r="D346"/>
      <c r="E346"/>
      <c r="F346"/>
      <c r="G346"/>
      <c r="H346"/>
      <c r="I346"/>
      <c r="J346" s="141">
        <f t="shared" si="676"/>
        <v>249770</v>
      </c>
      <c r="K346" s="25">
        <f t="shared" si="677"/>
        <v>207928</v>
      </c>
      <c r="L346" s="25">
        <v>143860.26251390437</v>
      </c>
      <c r="M346" s="25"/>
      <c r="N346" s="25"/>
      <c r="O346" s="25"/>
      <c r="P346" s="25">
        <f t="shared" si="678"/>
        <v>492158.32341085264</v>
      </c>
      <c r="Q346" s="25">
        <f t="shared" si="679"/>
        <v>-282851.09860465111</v>
      </c>
      <c r="R346" s="95">
        <f t="shared" si="680"/>
        <v>531364.97352165624</v>
      </c>
      <c r="S346" s="95">
        <f t="shared" si="681"/>
        <v>-243644.44849384751</v>
      </c>
      <c r="T346" s="25">
        <f t="shared" si="682"/>
        <v>1418522.2143234741</v>
      </c>
      <c r="U346" s="25">
        <f t="shared" si="683"/>
        <v>776443.85114146117</v>
      </c>
      <c r="Y346" s="25"/>
    </row>
    <row r="347" spans="1:25">
      <c r="A347"/>
      <c r="B347"/>
      <c r="C347"/>
      <c r="D347"/>
      <c r="E347"/>
      <c r="F347"/>
      <c r="G347"/>
      <c r="H347"/>
      <c r="I347"/>
      <c r="J347" s="141">
        <f t="shared" si="676"/>
        <v>142412</v>
      </c>
      <c r="K347" s="25">
        <f t="shared" si="677"/>
        <v>107358</v>
      </c>
      <c r="L347" s="25">
        <v>146727.74660734151</v>
      </c>
      <c r="M347" s="25"/>
      <c r="N347" s="25"/>
      <c r="O347" s="25"/>
      <c r="P347" s="25">
        <f t="shared" si="678"/>
        <v>492158.32341085264</v>
      </c>
      <c r="Q347" s="25">
        <f t="shared" si="679"/>
        <v>-282851.09860465111</v>
      </c>
      <c r="R347" s="95">
        <f t="shared" si="680"/>
        <v>534232.45761509333</v>
      </c>
      <c r="S347" s="95">
        <f t="shared" si="681"/>
        <v>-240776.96440041036</v>
      </c>
      <c r="T347" s="25">
        <f t="shared" si="682"/>
        <v>1418522.2143234741</v>
      </c>
      <c r="U347" s="25">
        <f t="shared" si="683"/>
        <v>776443.85114146117</v>
      </c>
      <c r="W347" s="48"/>
      <c r="Y347" s="25"/>
    </row>
    <row r="348" spans="1:25">
      <c r="A348"/>
      <c r="B348"/>
      <c r="C348"/>
      <c r="D348"/>
      <c r="E348"/>
      <c r="F348"/>
      <c r="G348"/>
      <c r="H348"/>
      <c r="I348"/>
      <c r="J348" s="141">
        <f t="shared" si="676"/>
        <v>157284</v>
      </c>
      <c r="K348" s="25">
        <f t="shared" si="677"/>
        <v>14872</v>
      </c>
      <c r="L348" s="25">
        <v>149595.23070077866</v>
      </c>
      <c r="M348" s="25"/>
      <c r="N348" s="25"/>
      <c r="O348" s="25"/>
      <c r="P348" s="25">
        <f t="shared" si="678"/>
        <v>492158.32341085264</v>
      </c>
      <c r="Q348" s="25">
        <f t="shared" si="679"/>
        <v>-282851.09860465111</v>
      </c>
      <c r="R348" s="95">
        <f t="shared" si="680"/>
        <v>537099.94170853053</v>
      </c>
      <c r="S348" s="95">
        <f t="shared" si="681"/>
        <v>-237909.48030697322</v>
      </c>
      <c r="T348" s="25">
        <f t="shared" si="682"/>
        <v>1418522.2143234741</v>
      </c>
      <c r="U348" s="25">
        <f t="shared" si="683"/>
        <v>776443.85114146117</v>
      </c>
      <c r="Y348" s="25"/>
    </row>
    <row r="349" spans="1:25">
      <c r="A349"/>
      <c r="B349"/>
      <c r="C349"/>
      <c r="D349"/>
      <c r="E349"/>
      <c r="F349"/>
      <c r="G349"/>
      <c r="H349"/>
      <c r="I349"/>
      <c r="J349" s="141">
        <f t="shared" si="676"/>
        <v>250762</v>
      </c>
      <c r="K349" s="25">
        <f t="shared" si="677"/>
        <v>93478</v>
      </c>
      <c r="L349" s="25">
        <v>152462.7147942158</v>
      </c>
      <c r="M349" s="25"/>
      <c r="N349" s="25"/>
      <c r="O349" s="25"/>
      <c r="P349" s="25">
        <f t="shared" si="678"/>
        <v>492158.32341085264</v>
      </c>
      <c r="Q349" s="25">
        <f t="shared" si="679"/>
        <v>-282851.09860465111</v>
      </c>
      <c r="R349" s="95">
        <f t="shared" si="680"/>
        <v>539967.42580196774</v>
      </c>
      <c r="S349" s="95">
        <f t="shared" si="681"/>
        <v>-235041.99621353607</v>
      </c>
      <c r="T349" s="25">
        <f t="shared" si="682"/>
        <v>1418522.2143234741</v>
      </c>
      <c r="U349" s="25">
        <f t="shared" si="683"/>
        <v>776443.85114146117</v>
      </c>
      <c r="Y349" s="25"/>
    </row>
    <row r="350" spans="1:25">
      <c r="J350" s="141">
        <f t="shared" si="676"/>
        <v>179501</v>
      </c>
      <c r="K350" s="25">
        <f t="shared" si="677"/>
        <v>71261</v>
      </c>
      <c r="L350" s="25">
        <v>155330.19888765295</v>
      </c>
      <c r="M350" s="25"/>
      <c r="N350" s="25"/>
      <c r="O350" s="25"/>
      <c r="P350" s="25">
        <f t="shared" si="678"/>
        <v>492158.32341085264</v>
      </c>
      <c r="Q350" s="25">
        <f t="shared" si="679"/>
        <v>-282851.09860465111</v>
      </c>
      <c r="R350" s="95">
        <f t="shared" si="680"/>
        <v>542834.90989540482</v>
      </c>
      <c r="S350" s="95">
        <f t="shared" si="681"/>
        <v>-232174.51212009892</v>
      </c>
      <c r="T350" s="25">
        <f t="shared" si="682"/>
        <v>1418522.2143234741</v>
      </c>
      <c r="U350" s="25">
        <f t="shared" si="683"/>
        <v>776443.85114146117</v>
      </c>
      <c r="Y350" s="25"/>
    </row>
    <row r="351" spans="1:25">
      <c r="E351" s="80" t="s">
        <v>1438</v>
      </c>
      <c r="F351" s="80"/>
      <c r="G351" s="80"/>
      <c r="H351" s="80" t="s">
        <v>1137</v>
      </c>
      <c r="J351" s="141">
        <f t="shared" si="676"/>
        <v>-51961</v>
      </c>
      <c r="K351" s="25">
        <f t="shared" si="677"/>
        <v>231462</v>
      </c>
      <c r="L351" s="25">
        <v>158197.6829810901</v>
      </c>
      <c r="M351" s="25"/>
      <c r="N351" s="25"/>
      <c r="O351" s="25"/>
      <c r="P351" s="25">
        <f t="shared" si="678"/>
        <v>492158.32341085264</v>
      </c>
      <c r="Q351" s="25">
        <f t="shared" si="679"/>
        <v>-282851.09860465111</v>
      </c>
      <c r="R351" s="95">
        <f t="shared" si="680"/>
        <v>545702.39398884191</v>
      </c>
      <c r="S351" s="95">
        <f t="shared" si="681"/>
        <v>-229307.02802666178</v>
      </c>
      <c r="T351" s="25">
        <f t="shared" si="682"/>
        <v>1418522.2143234741</v>
      </c>
      <c r="U351" s="25">
        <f t="shared" si="683"/>
        <v>776443.85114146117</v>
      </c>
      <c r="W351" s="80"/>
      <c r="Y351" s="25"/>
    </row>
    <row r="352" spans="1:25">
      <c r="J352" s="141">
        <f t="shared" si="676"/>
        <v>26466</v>
      </c>
      <c r="K352" s="25">
        <f t="shared" si="677"/>
        <v>78427</v>
      </c>
      <c r="L352" s="25">
        <v>161065.16707452724</v>
      </c>
      <c r="M352" s="25"/>
      <c r="N352" s="25"/>
      <c r="O352" s="25"/>
      <c r="P352" s="25">
        <f t="shared" si="678"/>
        <v>492158.32341085264</v>
      </c>
      <c r="Q352" s="25">
        <f t="shared" si="679"/>
        <v>-282851.09860465111</v>
      </c>
      <c r="R352" s="95">
        <f t="shared" si="680"/>
        <v>548569.87808227912</v>
      </c>
      <c r="S352" s="95">
        <f t="shared" si="681"/>
        <v>-226439.54393322463</v>
      </c>
      <c r="T352" s="25">
        <f t="shared" si="682"/>
        <v>1418522.2143234741</v>
      </c>
      <c r="U352" s="25">
        <f t="shared" si="683"/>
        <v>776443.85114146117</v>
      </c>
      <c r="Y352" s="25"/>
    </row>
    <row r="353" spans="1:25">
      <c r="A353" s="98" t="s">
        <v>1178</v>
      </c>
      <c r="B353" s="48"/>
      <c r="C353" s="48"/>
      <c r="D353" s="48"/>
      <c r="J353" s="141">
        <f t="shared" si="676"/>
        <v>64077</v>
      </c>
      <c r="K353" s="25">
        <f t="shared" si="677"/>
        <v>37611</v>
      </c>
      <c r="L353" s="25">
        <v>163932.65116796442</v>
      </c>
      <c r="M353" s="25"/>
      <c r="N353" s="25"/>
      <c r="O353" s="25"/>
      <c r="P353" s="25">
        <f t="shared" si="678"/>
        <v>492158.32341085264</v>
      </c>
      <c r="Q353" s="25">
        <f t="shared" si="679"/>
        <v>-282851.09860465111</v>
      </c>
      <c r="R353" s="95">
        <f t="shared" si="680"/>
        <v>551437.36217571632</v>
      </c>
      <c r="S353" s="95">
        <f t="shared" si="681"/>
        <v>-223572.05983978746</v>
      </c>
      <c r="T353" s="25">
        <f t="shared" si="682"/>
        <v>1418522.2143234741</v>
      </c>
      <c r="U353" s="25">
        <f t="shared" si="683"/>
        <v>776443.85114146117</v>
      </c>
      <c r="Y353" s="25"/>
    </row>
    <row r="354" spans="1:25">
      <c r="B354" s="48"/>
      <c r="C354" s="48"/>
      <c r="D354" s="48"/>
      <c r="H354" s="6">
        <v>58860</v>
      </c>
      <c r="J354" s="141">
        <f t="shared" si="676"/>
        <v>276426</v>
      </c>
      <c r="K354" s="25">
        <f t="shared" si="677"/>
        <v>212349</v>
      </c>
      <c r="L354" s="25">
        <f t="shared" ref="L354:L385" si="684">L353+$C$491</f>
        <v>166800.13526140156</v>
      </c>
      <c r="M354" s="25"/>
      <c r="N354" s="25"/>
      <c r="O354" s="25"/>
      <c r="P354" s="25">
        <f t="shared" si="678"/>
        <v>492158.32341085264</v>
      </c>
      <c r="Q354" s="25">
        <f t="shared" si="679"/>
        <v>-282851.09860465111</v>
      </c>
      <c r="R354" s="25">
        <f t="shared" ref="R354:R385" si="685">R353+$C$491</f>
        <v>554304.84626915352</v>
      </c>
      <c r="S354" s="95">
        <f t="shared" si="681"/>
        <v>-220704.57574635031</v>
      </c>
      <c r="T354" s="25">
        <f t="shared" si="682"/>
        <v>1418522.2143234741</v>
      </c>
      <c r="U354" s="25">
        <f t="shared" si="683"/>
        <v>776443.85114146117</v>
      </c>
      <c r="Y354" s="25"/>
    </row>
    <row r="355" spans="1:25">
      <c r="A355" s="245">
        <f t="shared" ref="A355:A371" si="686">A137</f>
        <v>34758</v>
      </c>
      <c r="B355" s="48">
        <f t="shared" ref="B355:C370" si="687">B139</f>
        <v>1033703</v>
      </c>
      <c r="C355" s="48">
        <f t="shared" si="687"/>
        <v>149035</v>
      </c>
      <c r="D355" s="48"/>
      <c r="J355" s="141">
        <f t="shared" si="676"/>
        <v>254206</v>
      </c>
      <c r="K355" s="25">
        <f t="shared" si="677"/>
        <v>22220</v>
      </c>
      <c r="L355" s="25">
        <f t="shared" si="684"/>
        <v>169667.61935483871</v>
      </c>
      <c r="M355" s="25"/>
      <c r="N355" s="25"/>
      <c r="O355" s="25"/>
      <c r="P355" s="25">
        <f t="shared" si="678"/>
        <v>492158.32341085264</v>
      </c>
      <c r="Q355" s="25">
        <f t="shared" si="679"/>
        <v>-282851.09860465111</v>
      </c>
      <c r="R355" s="25">
        <f t="shared" si="685"/>
        <v>557172.33036259073</v>
      </c>
      <c r="S355" s="95">
        <f t="shared" si="681"/>
        <v>-217837.09165291316</v>
      </c>
      <c r="T355" s="25">
        <f t="shared" si="682"/>
        <v>1418522.2143234741</v>
      </c>
      <c r="U355" s="25">
        <f t="shared" si="683"/>
        <v>776443.85114146117</v>
      </c>
      <c r="Y355" s="25"/>
    </row>
    <row r="356" spans="1:25">
      <c r="A356" s="245">
        <f t="shared" si="686"/>
        <v>34789</v>
      </c>
      <c r="B356" s="48">
        <f t="shared" si="687"/>
        <v>929225</v>
      </c>
      <c r="C356" s="48">
        <f t="shared" si="687"/>
        <v>43197</v>
      </c>
      <c r="D356" s="48"/>
      <c r="J356" s="141">
        <f t="shared" si="676"/>
        <v>420335</v>
      </c>
      <c r="K356" s="25">
        <f t="shared" si="677"/>
        <v>166129</v>
      </c>
      <c r="L356" s="25">
        <f t="shared" si="684"/>
        <v>172535.10344827586</v>
      </c>
      <c r="M356" s="25"/>
      <c r="N356" s="25"/>
      <c r="O356" s="25"/>
      <c r="P356" s="25">
        <f t="shared" si="678"/>
        <v>492158.32341085264</v>
      </c>
      <c r="Q356" s="25">
        <f t="shared" si="679"/>
        <v>-282851.09860465111</v>
      </c>
      <c r="R356" s="25">
        <f t="shared" si="685"/>
        <v>560039.81445602793</v>
      </c>
      <c r="S356" s="95">
        <f t="shared" si="681"/>
        <v>-214969.60755947602</v>
      </c>
      <c r="T356" s="25">
        <f t="shared" si="682"/>
        <v>1418522.2143234741</v>
      </c>
      <c r="U356" s="25">
        <f t="shared" si="683"/>
        <v>776443.85114146117</v>
      </c>
      <c r="Y356" s="25"/>
    </row>
    <row r="357" spans="1:25">
      <c r="A357" s="245">
        <f t="shared" si="686"/>
        <v>34819</v>
      </c>
      <c r="B357" s="48">
        <f t="shared" si="687"/>
        <v>1012575</v>
      </c>
      <c r="C357" s="48">
        <f t="shared" si="687"/>
        <v>180995</v>
      </c>
      <c r="D357" s="48"/>
      <c r="J357" s="141">
        <f t="shared" si="676"/>
        <v>403902</v>
      </c>
      <c r="K357" s="25">
        <f t="shared" si="677"/>
        <v>16433</v>
      </c>
      <c r="L357" s="25">
        <f t="shared" si="684"/>
        <v>175402.587541713</v>
      </c>
      <c r="M357" s="25"/>
      <c r="N357" s="25"/>
      <c r="O357" s="25"/>
      <c r="P357" s="25">
        <f t="shared" si="678"/>
        <v>492158.32341085264</v>
      </c>
      <c r="Q357" s="25">
        <f t="shared" si="679"/>
        <v>-282851.09860465111</v>
      </c>
      <c r="R357" s="25">
        <f t="shared" si="685"/>
        <v>562907.29854946514</v>
      </c>
      <c r="S357" s="95">
        <f t="shared" si="681"/>
        <v>-212102.12346603887</v>
      </c>
      <c r="T357" s="25">
        <f t="shared" si="682"/>
        <v>1418522.2143234741</v>
      </c>
      <c r="U357" s="25">
        <f t="shared" si="683"/>
        <v>776443.85114146117</v>
      </c>
      <c r="Y357" s="25"/>
    </row>
    <row r="358" spans="1:25">
      <c r="A358" s="245">
        <f t="shared" si="686"/>
        <v>34850</v>
      </c>
      <c r="B358" s="48">
        <f t="shared" si="687"/>
        <v>922523</v>
      </c>
      <c r="C358" s="48">
        <f t="shared" si="687"/>
        <v>87008</v>
      </c>
      <c r="D358" s="48"/>
      <c r="J358" s="141">
        <f t="shared" ref="J358:J389" si="688">C164</f>
        <v>416473</v>
      </c>
      <c r="K358" s="25">
        <f t="shared" ref="K358:K389" si="689">L164</f>
        <v>12571</v>
      </c>
      <c r="L358" s="25">
        <f t="shared" si="684"/>
        <v>178270.07163515015</v>
      </c>
      <c r="M358" s="25"/>
      <c r="N358" s="25"/>
      <c r="O358" s="25"/>
      <c r="P358" s="25">
        <f t="shared" ref="P358:P389" si="690">$A$491+1.88*$B$491</f>
        <v>492158.32341085264</v>
      </c>
      <c r="Q358" s="25">
        <f t="shared" ref="Q358:Q389" si="691">$A$491-1.88*$B$491</f>
        <v>-282851.09860465111</v>
      </c>
      <c r="R358" s="25">
        <f t="shared" si="685"/>
        <v>565774.78264290234</v>
      </c>
      <c r="S358" s="95">
        <f t="shared" ref="S358:S389" si="692">L358-$B$491*1.88</f>
        <v>-209234.63937260173</v>
      </c>
      <c r="T358" s="25">
        <f t="shared" si="682"/>
        <v>1418522.2143234741</v>
      </c>
      <c r="U358" s="25">
        <f t="shared" si="683"/>
        <v>776443.85114146117</v>
      </c>
      <c r="Y358" s="25"/>
    </row>
    <row r="359" spans="1:25">
      <c r="A359" s="245">
        <f t="shared" si="686"/>
        <v>34880</v>
      </c>
      <c r="B359" s="48">
        <f t="shared" si="687"/>
        <v>1064149</v>
      </c>
      <c r="C359" s="48">
        <f t="shared" si="687"/>
        <v>166292</v>
      </c>
      <c r="D359" s="48"/>
      <c r="J359" s="141">
        <f t="shared" si="688"/>
        <v>24430</v>
      </c>
      <c r="K359" s="25">
        <f t="shared" si="689"/>
        <v>392043</v>
      </c>
      <c r="L359" s="25">
        <f t="shared" si="684"/>
        <v>181137.55572858729</v>
      </c>
      <c r="M359" s="25"/>
      <c r="N359" s="25"/>
      <c r="O359" s="25"/>
      <c r="P359" s="25">
        <f t="shared" si="690"/>
        <v>492158.32341085264</v>
      </c>
      <c r="Q359" s="25">
        <f t="shared" si="691"/>
        <v>-282851.09860465111</v>
      </c>
      <c r="R359" s="25">
        <f t="shared" si="685"/>
        <v>568642.26673633954</v>
      </c>
      <c r="S359" s="95">
        <f t="shared" si="692"/>
        <v>-206367.15527916458</v>
      </c>
      <c r="T359" s="25">
        <f t="shared" si="682"/>
        <v>1418522.2143234741</v>
      </c>
      <c r="U359" s="25">
        <f t="shared" si="683"/>
        <v>776443.85114146117</v>
      </c>
      <c r="Y359" s="25"/>
    </row>
    <row r="360" spans="1:25">
      <c r="A360" s="245">
        <f t="shared" si="686"/>
        <v>34911</v>
      </c>
      <c r="B360" s="48">
        <f t="shared" si="687"/>
        <v>857407</v>
      </c>
      <c r="C360" s="48">
        <f t="shared" si="687"/>
        <v>-64578</v>
      </c>
      <c r="D360" s="48"/>
      <c r="J360" s="141">
        <f t="shared" si="688"/>
        <v>195482</v>
      </c>
      <c r="K360" s="25">
        <f t="shared" si="689"/>
        <v>171052</v>
      </c>
      <c r="L360" s="25">
        <f t="shared" si="684"/>
        <v>184005.03982202444</v>
      </c>
      <c r="M360" s="25"/>
      <c r="N360" s="25"/>
      <c r="O360" s="25"/>
      <c r="P360" s="25">
        <f t="shared" si="690"/>
        <v>492158.32341085264</v>
      </c>
      <c r="Q360" s="25">
        <f t="shared" si="691"/>
        <v>-282851.09860465111</v>
      </c>
      <c r="R360" s="25">
        <f t="shared" si="685"/>
        <v>571509.75082977675</v>
      </c>
      <c r="S360" s="95">
        <f t="shared" si="692"/>
        <v>-203499.67118572743</v>
      </c>
      <c r="T360" s="25">
        <f t="shared" si="682"/>
        <v>1418522.2143234741</v>
      </c>
      <c r="U360" s="25">
        <f t="shared" si="683"/>
        <v>776443.85114146117</v>
      </c>
      <c r="Y360" s="25"/>
    </row>
    <row r="361" spans="1:25">
      <c r="A361" s="245">
        <f t="shared" si="686"/>
        <v>34942</v>
      </c>
      <c r="B361" s="48">
        <f t="shared" si="687"/>
        <v>1057871</v>
      </c>
      <c r="C361" s="48">
        <f t="shared" si="687"/>
        <v>112491</v>
      </c>
      <c r="D361" s="48"/>
      <c r="J361" s="141">
        <f t="shared" si="688"/>
        <v>115421</v>
      </c>
      <c r="K361" s="25">
        <f t="shared" si="689"/>
        <v>80061</v>
      </c>
      <c r="L361" s="25">
        <f t="shared" si="684"/>
        <v>186872.52391546158</v>
      </c>
      <c r="M361" s="25"/>
      <c r="N361" s="25"/>
      <c r="O361" s="25"/>
      <c r="P361" s="25">
        <f t="shared" si="690"/>
        <v>492158.32341085264</v>
      </c>
      <c r="Q361" s="25">
        <f t="shared" si="691"/>
        <v>-282851.09860465111</v>
      </c>
      <c r="R361" s="25">
        <f t="shared" si="685"/>
        <v>574377.23492321395</v>
      </c>
      <c r="S361" s="95">
        <f t="shared" si="692"/>
        <v>-200632.18709229029</v>
      </c>
      <c r="T361" s="25">
        <f t="shared" si="682"/>
        <v>1418522.2143234741</v>
      </c>
      <c r="U361" s="25">
        <f t="shared" si="683"/>
        <v>776443.85114146117</v>
      </c>
      <c r="Y361" s="25"/>
    </row>
    <row r="362" spans="1:25">
      <c r="A362" s="245">
        <f t="shared" si="686"/>
        <v>34972</v>
      </c>
      <c r="B362" s="48">
        <f t="shared" si="687"/>
        <v>1180180</v>
      </c>
      <c r="C362" s="48">
        <f t="shared" si="687"/>
        <v>-10286</v>
      </c>
      <c r="D362" s="48"/>
      <c r="J362" s="141">
        <f t="shared" si="688"/>
        <v>595746</v>
      </c>
      <c r="K362" s="25">
        <f t="shared" si="689"/>
        <v>480325</v>
      </c>
      <c r="L362" s="25">
        <f t="shared" si="684"/>
        <v>189740.00800889873</v>
      </c>
      <c r="M362" s="25"/>
      <c r="N362" s="25"/>
      <c r="O362" s="25"/>
      <c r="P362" s="25">
        <f t="shared" si="690"/>
        <v>492158.32341085264</v>
      </c>
      <c r="Q362" s="25">
        <f t="shared" si="691"/>
        <v>-282851.09860465111</v>
      </c>
      <c r="R362" s="25">
        <f t="shared" si="685"/>
        <v>577244.71901665116</v>
      </c>
      <c r="S362" s="95">
        <f t="shared" si="692"/>
        <v>-197764.70299885314</v>
      </c>
      <c r="T362" s="25">
        <f t="shared" si="682"/>
        <v>1418522.2143234741</v>
      </c>
      <c r="U362" s="25">
        <f t="shared" si="683"/>
        <v>776443.85114146117</v>
      </c>
      <c r="Y362" s="25"/>
    </row>
    <row r="363" spans="1:25">
      <c r="A363" s="245">
        <f t="shared" si="686"/>
        <v>35003</v>
      </c>
      <c r="B363" s="48">
        <f t="shared" si="687"/>
        <v>909246</v>
      </c>
      <c r="C363" s="48">
        <f t="shared" si="687"/>
        <v>87291</v>
      </c>
      <c r="D363" s="48"/>
      <c r="J363" s="141">
        <f t="shared" si="688"/>
        <v>52911</v>
      </c>
      <c r="K363" s="25">
        <f t="shared" si="689"/>
        <v>542835</v>
      </c>
      <c r="L363" s="25">
        <f t="shared" si="684"/>
        <v>192607.49210233588</v>
      </c>
      <c r="M363" s="25"/>
      <c r="N363" s="25"/>
      <c r="O363" s="25"/>
      <c r="P363" s="25">
        <f t="shared" si="690"/>
        <v>492158.32341085264</v>
      </c>
      <c r="Q363" s="25">
        <f t="shared" si="691"/>
        <v>-282851.09860465111</v>
      </c>
      <c r="R363" s="25">
        <f t="shared" si="685"/>
        <v>580112.20311008836</v>
      </c>
      <c r="S363" s="95">
        <f t="shared" si="692"/>
        <v>-194897.218905416</v>
      </c>
      <c r="T363" s="25">
        <f t="shared" si="682"/>
        <v>1418522.2143234741</v>
      </c>
      <c r="U363" s="25">
        <f t="shared" si="683"/>
        <v>776443.85114146117</v>
      </c>
      <c r="Y363" s="25"/>
    </row>
    <row r="364" spans="1:25">
      <c r="A364" s="245">
        <f t="shared" si="686"/>
        <v>35033</v>
      </c>
      <c r="B364" s="48">
        <f t="shared" si="687"/>
        <v>942247</v>
      </c>
      <c r="C364" s="48">
        <f t="shared" si="687"/>
        <v>110829</v>
      </c>
      <c r="D364" s="48"/>
      <c r="J364" s="141">
        <f t="shared" si="688"/>
        <v>-179692</v>
      </c>
      <c r="K364" s="25">
        <f t="shared" si="689"/>
        <v>232603</v>
      </c>
      <c r="L364" s="25">
        <f t="shared" si="684"/>
        <v>195474.97619577302</v>
      </c>
      <c r="M364" s="25"/>
      <c r="N364" s="25"/>
      <c r="O364" s="25"/>
      <c r="P364" s="25">
        <f t="shared" si="690"/>
        <v>492158.32341085264</v>
      </c>
      <c r="Q364" s="25">
        <f t="shared" si="691"/>
        <v>-282851.09860465111</v>
      </c>
      <c r="R364" s="25">
        <f t="shared" si="685"/>
        <v>582979.68720352557</v>
      </c>
      <c r="S364" s="95">
        <f t="shared" si="692"/>
        <v>-192029.73481197885</v>
      </c>
      <c r="T364" s="25">
        <f t="shared" si="682"/>
        <v>1418522.2143234741</v>
      </c>
      <c r="U364" s="25">
        <f t="shared" si="683"/>
        <v>776443.85114146117</v>
      </c>
      <c r="Y364" s="25"/>
    </row>
    <row r="365" spans="1:25">
      <c r="A365" s="245">
        <f t="shared" si="686"/>
        <v>35064</v>
      </c>
      <c r="B365" s="48">
        <f t="shared" si="687"/>
        <v>1173800</v>
      </c>
      <c r="C365" s="48">
        <f t="shared" si="687"/>
        <v>277182</v>
      </c>
      <c r="D365" s="48"/>
      <c r="J365" s="141">
        <f t="shared" si="688"/>
        <v>-69909</v>
      </c>
      <c r="K365" s="25">
        <f t="shared" si="689"/>
        <v>109783</v>
      </c>
      <c r="L365" s="25">
        <f t="shared" si="684"/>
        <v>198342.46028921017</v>
      </c>
      <c r="M365" s="25"/>
      <c r="N365" s="25"/>
      <c r="O365" s="25"/>
      <c r="P365" s="25">
        <f t="shared" si="690"/>
        <v>492158.32341085264</v>
      </c>
      <c r="Q365" s="25">
        <f t="shared" si="691"/>
        <v>-282851.09860465111</v>
      </c>
      <c r="R365" s="25">
        <f t="shared" si="685"/>
        <v>585847.17129696277</v>
      </c>
      <c r="S365" s="95">
        <f t="shared" si="692"/>
        <v>-189162.25071854171</v>
      </c>
      <c r="T365" s="25">
        <f t="shared" si="682"/>
        <v>1418522.2143234741</v>
      </c>
      <c r="U365" s="25">
        <f t="shared" si="683"/>
        <v>776443.85114146117</v>
      </c>
      <c r="Y365" s="25"/>
    </row>
    <row r="366" spans="1:25">
      <c r="A366" s="245">
        <f t="shared" si="686"/>
        <v>35095</v>
      </c>
      <c r="B366" s="48">
        <f t="shared" si="687"/>
        <v>879252</v>
      </c>
      <c r="C366" s="48">
        <f t="shared" si="687"/>
        <v>-26536</v>
      </c>
      <c r="D366" s="48"/>
      <c r="E366" s="6">
        <v>33650</v>
      </c>
      <c r="H366" s="6">
        <v>54264</v>
      </c>
      <c r="J366" s="141">
        <f t="shared" si="688"/>
        <v>32275</v>
      </c>
      <c r="K366" s="25">
        <f t="shared" si="689"/>
        <v>102184</v>
      </c>
      <c r="L366" s="25">
        <f t="shared" si="684"/>
        <v>201209.94438264731</v>
      </c>
      <c r="M366" s="25"/>
      <c r="N366" s="25"/>
      <c r="O366" s="25"/>
      <c r="P366" s="25">
        <f t="shared" si="690"/>
        <v>492158.32341085264</v>
      </c>
      <c r="Q366" s="25">
        <f t="shared" si="691"/>
        <v>-282851.09860465111</v>
      </c>
      <c r="R366" s="25">
        <f t="shared" si="685"/>
        <v>588714.65539039997</v>
      </c>
      <c r="S366" s="95">
        <f t="shared" si="692"/>
        <v>-186294.76662510456</v>
      </c>
      <c r="T366" s="25">
        <f t="shared" si="682"/>
        <v>1418522.2143234741</v>
      </c>
      <c r="U366" s="25">
        <f t="shared" si="683"/>
        <v>776443.85114146117</v>
      </c>
      <c r="Y366" s="25"/>
    </row>
    <row r="367" spans="1:25">
      <c r="A367" s="245">
        <f t="shared" si="686"/>
        <v>35124</v>
      </c>
      <c r="B367" s="48">
        <f t="shared" si="687"/>
        <v>1418552</v>
      </c>
      <c r="C367" s="48">
        <f t="shared" si="687"/>
        <v>457698</v>
      </c>
      <c r="D367" s="48"/>
      <c r="J367" s="141">
        <f t="shared" si="688"/>
        <v>523236</v>
      </c>
      <c r="K367" s="25">
        <f t="shared" si="689"/>
        <v>490961</v>
      </c>
      <c r="L367" s="25">
        <f t="shared" si="684"/>
        <v>204077.42847608446</v>
      </c>
      <c r="M367" s="25"/>
      <c r="N367" s="25"/>
      <c r="O367" s="25"/>
      <c r="P367" s="25">
        <f t="shared" si="690"/>
        <v>492158.32341085264</v>
      </c>
      <c r="Q367" s="25">
        <f t="shared" si="691"/>
        <v>-282851.09860465111</v>
      </c>
      <c r="R367" s="25">
        <f t="shared" si="685"/>
        <v>591582.13948383718</v>
      </c>
      <c r="S367" s="95">
        <f t="shared" si="692"/>
        <v>-183427.28253166741</v>
      </c>
      <c r="T367" s="25">
        <f t="shared" si="682"/>
        <v>1418522.2143234741</v>
      </c>
      <c r="U367" s="25">
        <f t="shared" si="683"/>
        <v>776443.85114146117</v>
      </c>
      <c r="Y367" s="25"/>
    </row>
    <row r="368" spans="1:25">
      <c r="A368" s="245">
        <f t="shared" si="686"/>
        <v>35155</v>
      </c>
      <c r="B368" s="48">
        <f t="shared" si="687"/>
        <v>1263663</v>
      </c>
      <c r="C368" s="48">
        <f t="shared" si="687"/>
        <v>249770</v>
      </c>
      <c r="D368" s="48"/>
      <c r="J368" s="141">
        <f t="shared" si="688"/>
        <v>16764</v>
      </c>
      <c r="K368" s="25">
        <f t="shared" si="689"/>
        <v>506472</v>
      </c>
      <c r="L368" s="25">
        <f t="shared" si="684"/>
        <v>206944.91256952161</v>
      </c>
      <c r="M368" s="25"/>
      <c r="N368" s="25"/>
      <c r="O368" s="25"/>
      <c r="P368" s="25">
        <f t="shared" si="690"/>
        <v>492158.32341085264</v>
      </c>
      <c r="Q368" s="25">
        <f t="shared" si="691"/>
        <v>-282851.09860465111</v>
      </c>
      <c r="R368" s="25">
        <f t="shared" si="685"/>
        <v>594449.62357727438</v>
      </c>
      <c r="S368" s="95">
        <f t="shared" si="692"/>
        <v>-180559.79843823027</v>
      </c>
      <c r="T368" s="25">
        <f t="shared" si="682"/>
        <v>1418522.2143234741</v>
      </c>
      <c r="U368" s="25">
        <f t="shared" si="683"/>
        <v>776443.85114146117</v>
      </c>
      <c r="Y368" s="25"/>
    </row>
    <row r="369" spans="1:25">
      <c r="A369" s="245">
        <f t="shared" si="686"/>
        <v>35185</v>
      </c>
      <c r="B369" s="48">
        <f t="shared" si="687"/>
        <v>1118487</v>
      </c>
      <c r="C369" s="48">
        <f t="shared" si="687"/>
        <v>142412</v>
      </c>
      <c r="D369" s="48"/>
      <c r="J369" s="141">
        <f t="shared" si="688"/>
        <v>407964</v>
      </c>
      <c r="K369" s="25">
        <f t="shared" si="689"/>
        <v>391200</v>
      </c>
      <c r="L369" s="25">
        <f t="shared" si="684"/>
        <v>209812.39666295875</v>
      </c>
      <c r="M369" s="25"/>
      <c r="N369" s="25"/>
      <c r="O369" s="25"/>
      <c r="P369" s="25">
        <f t="shared" si="690"/>
        <v>492158.32341085264</v>
      </c>
      <c r="Q369" s="25">
        <f t="shared" si="691"/>
        <v>-282851.09860465111</v>
      </c>
      <c r="R369" s="25">
        <f t="shared" si="685"/>
        <v>597317.10767071159</v>
      </c>
      <c r="S369" s="95">
        <f t="shared" si="692"/>
        <v>-177692.31434479312</v>
      </c>
      <c r="T369" s="25">
        <f t="shared" si="682"/>
        <v>1418522.2143234741</v>
      </c>
      <c r="U369" s="25">
        <f t="shared" si="683"/>
        <v>776443.85114146117</v>
      </c>
      <c r="Y369" s="25"/>
    </row>
    <row r="370" spans="1:25">
      <c r="A370" s="245">
        <f t="shared" si="686"/>
        <v>35216</v>
      </c>
      <c r="B370" s="48">
        <f t="shared" si="687"/>
        <v>1191666</v>
      </c>
      <c r="C370" s="48">
        <f t="shared" si="687"/>
        <v>157284</v>
      </c>
      <c r="D370" s="48"/>
      <c r="J370" s="141">
        <f t="shared" si="688"/>
        <v>64840</v>
      </c>
      <c r="K370" s="25">
        <f t="shared" si="689"/>
        <v>343124</v>
      </c>
      <c r="L370" s="25">
        <f t="shared" si="684"/>
        <v>212679.8807563959</v>
      </c>
      <c r="M370" s="25"/>
      <c r="N370" s="25"/>
      <c r="O370" s="25"/>
      <c r="P370" s="25">
        <f t="shared" si="690"/>
        <v>492158.32341085264</v>
      </c>
      <c r="Q370" s="25">
        <f t="shared" si="691"/>
        <v>-282851.09860465111</v>
      </c>
      <c r="R370" s="25">
        <f t="shared" si="685"/>
        <v>600184.59176414879</v>
      </c>
      <c r="S370" s="95">
        <f t="shared" si="692"/>
        <v>-174824.83025135598</v>
      </c>
      <c r="T370" s="25">
        <f t="shared" si="682"/>
        <v>1418522.2143234741</v>
      </c>
      <c r="U370" s="25">
        <f t="shared" si="683"/>
        <v>776443.85114146117</v>
      </c>
      <c r="Y370" s="25"/>
    </row>
    <row r="371" spans="1:25">
      <c r="A371" s="245">
        <f t="shared" si="686"/>
        <v>35246</v>
      </c>
      <c r="B371" s="48"/>
      <c r="C371" s="48"/>
      <c r="D371" s="48"/>
      <c r="J371" s="141">
        <f t="shared" si="688"/>
        <v>-233680</v>
      </c>
      <c r="K371" s="25">
        <f t="shared" si="689"/>
        <v>298520</v>
      </c>
      <c r="L371" s="25">
        <f t="shared" si="684"/>
        <v>215547.36484983304</v>
      </c>
      <c r="M371" s="25"/>
      <c r="N371" s="25"/>
      <c r="O371" s="25"/>
      <c r="P371" s="25">
        <f t="shared" si="690"/>
        <v>492158.32341085264</v>
      </c>
      <c r="Q371" s="25">
        <f t="shared" si="691"/>
        <v>-282851.09860465111</v>
      </c>
      <c r="R371" s="25">
        <f t="shared" si="685"/>
        <v>603052.07585758599</v>
      </c>
      <c r="S371" s="95">
        <f t="shared" si="692"/>
        <v>-171957.34615791883</v>
      </c>
      <c r="T371" s="25">
        <f t="shared" si="682"/>
        <v>1418522.2143234741</v>
      </c>
      <c r="U371" s="25">
        <f t="shared" si="683"/>
        <v>776443.85114146117</v>
      </c>
      <c r="Y371" s="25"/>
    </row>
    <row r="372" spans="1:25">
      <c r="A372" s="245">
        <f>A163</f>
        <v>35550</v>
      </c>
      <c r="B372" s="48"/>
      <c r="C372" s="48"/>
      <c r="D372" s="48"/>
      <c r="J372" s="141">
        <f t="shared" si="688"/>
        <v>-251911</v>
      </c>
      <c r="K372" s="25">
        <f t="shared" si="689"/>
        <v>18231</v>
      </c>
      <c r="L372" s="25">
        <f t="shared" si="684"/>
        <v>218414.84894327019</v>
      </c>
      <c r="M372" s="25"/>
      <c r="N372" s="25"/>
      <c r="O372" s="25"/>
      <c r="P372" s="25">
        <f t="shared" si="690"/>
        <v>492158.32341085264</v>
      </c>
      <c r="Q372" s="25">
        <f t="shared" si="691"/>
        <v>-282851.09860465111</v>
      </c>
      <c r="R372" s="25">
        <f t="shared" si="685"/>
        <v>605919.5599510232</v>
      </c>
      <c r="S372" s="95">
        <f t="shared" si="692"/>
        <v>-169089.86206448168</v>
      </c>
      <c r="T372" s="25">
        <f t="shared" si="682"/>
        <v>1418522.2143234741</v>
      </c>
      <c r="U372" s="25">
        <f t="shared" si="683"/>
        <v>776443.85114146117</v>
      </c>
      <c r="Y372" s="25"/>
    </row>
    <row r="373" spans="1:25">
      <c r="A373" s="245">
        <f>A320</f>
        <v>0</v>
      </c>
      <c r="B373" s="48"/>
      <c r="C373" s="48"/>
      <c r="D373" s="48"/>
      <c r="J373" s="141">
        <f t="shared" si="688"/>
        <v>5651</v>
      </c>
      <c r="K373" s="25">
        <f t="shared" si="689"/>
        <v>257562</v>
      </c>
      <c r="L373" s="25">
        <f t="shared" si="684"/>
        <v>221282.33303670734</v>
      </c>
      <c r="M373" s="25"/>
      <c r="N373" s="25"/>
      <c r="O373" s="25"/>
      <c r="P373" s="25">
        <f t="shared" si="690"/>
        <v>492158.32341085264</v>
      </c>
      <c r="Q373" s="25">
        <f t="shared" si="691"/>
        <v>-282851.09860465111</v>
      </c>
      <c r="R373" s="25">
        <f t="shared" si="685"/>
        <v>608787.0440444604</v>
      </c>
      <c r="S373" s="95">
        <f t="shared" si="692"/>
        <v>-166222.37797104454</v>
      </c>
      <c r="T373" s="25">
        <f t="shared" si="682"/>
        <v>1418522.2143234741</v>
      </c>
      <c r="U373" s="25">
        <f t="shared" si="683"/>
        <v>776443.85114146117</v>
      </c>
      <c r="Y373" s="25"/>
    </row>
    <row r="374" spans="1:25">
      <c r="A374" s="245"/>
      <c r="J374" s="141">
        <f t="shared" si="688"/>
        <v>-62298</v>
      </c>
      <c r="K374" s="25">
        <f t="shared" si="689"/>
        <v>67949</v>
      </c>
      <c r="L374" s="25">
        <f t="shared" si="684"/>
        <v>224149.81713014448</v>
      </c>
      <c r="M374" s="25"/>
      <c r="N374" s="25"/>
      <c r="O374" s="25"/>
      <c r="P374" s="25">
        <f t="shared" si="690"/>
        <v>492158.32341085264</v>
      </c>
      <c r="Q374" s="25">
        <f t="shared" si="691"/>
        <v>-282851.09860465111</v>
      </c>
      <c r="R374" s="25">
        <f t="shared" si="685"/>
        <v>611654.52813789761</v>
      </c>
      <c r="S374" s="95">
        <f t="shared" si="692"/>
        <v>-163354.89387760739</v>
      </c>
      <c r="T374" s="25">
        <f t="shared" si="682"/>
        <v>1418522.2143234741</v>
      </c>
      <c r="U374" s="25">
        <f t="shared" si="683"/>
        <v>776443.85114146117</v>
      </c>
      <c r="Y374" s="25"/>
    </row>
    <row r="375" spans="1:25">
      <c r="A375" s="245"/>
      <c r="H375" s="6">
        <f>-H354+H366</f>
        <v>-4596</v>
      </c>
      <c r="J375" s="141">
        <f t="shared" si="688"/>
        <v>167348</v>
      </c>
      <c r="K375" s="25">
        <f t="shared" si="689"/>
        <v>229646</v>
      </c>
      <c r="L375" s="25">
        <f t="shared" si="684"/>
        <v>227017.30122358163</v>
      </c>
      <c r="M375" s="25"/>
      <c r="N375" s="25"/>
      <c r="O375" s="25"/>
      <c r="P375" s="25">
        <f t="shared" si="690"/>
        <v>492158.32341085264</v>
      </c>
      <c r="Q375" s="25">
        <f t="shared" si="691"/>
        <v>-282851.09860465111</v>
      </c>
      <c r="R375" s="25">
        <f t="shared" si="685"/>
        <v>614522.01223133481</v>
      </c>
      <c r="S375" s="95">
        <f t="shared" si="692"/>
        <v>-160487.40978417025</v>
      </c>
      <c r="T375" s="25">
        <f t="shared" si="682"/>
        <v>1418522.2143234741</v>
      </c>
      <c r="U375" s="25">
        <f t="shared" si="683"/>
        <v>776443.85114146117</v>
      </c>
      <c r="Y375" s="25"/>
    </row>
    <row r="376" spans="1:25">
      <c r="A376" s="24"/>
      <c r="J376" s="141">
        <f t="shared" si="688"/>
        <v>-71978</v>
      </c>
      <c r="K376" s="25">
        <f t="shared" si="689"/>
        <v>239326</v>
      </c>
      <c r="L376" s="25">
        <f t="shared" si="684"/>
        <v>229884.78531701877</v>
      </c>
      <c r="M376" s="25"/>
      <c r="N376" s="25"/>
      <c r="O376" s="25"/>
      <c r="P376" s="25">
        <f t="shared" si="690"/>
        <v>492158.32341085264</v>
      </c>
      <c r="Q376" s="25">
        <f t="shared" si="691"/>
        <v>-282851.09860465111</v>
      </c>
      <c r="R376" s="25">
        <f t="shared" si="685"/>
        <v>617389.49632477202</v>
      </c>
      <c r="S376" s="95">
        <f t="shared" si="692"/>
        <v>-157619.9256907331</v>
      </c>
      <c r="T376" s="25">
        <f t="shared" si="682"/>
        <v>1418522.2143234741</v>
      </c>
      <c r="U376" s="25">
        <f t="shared" si="683"/>
        <v>776443.85114146117</v>
      </c>
      <c r="Y376" s="25"/>
    </row>
    <row r="377" spans="1:25">
      <c r="A377" s="231" t="s">
        <v>1019</v>
      </c>
      <c r="B377" s="48">
        <f t="shared" ref="B377:C380" si="693">SUM(B353:B366)</f>
        <v>11962178</v>
      </c>
      <c r="C377" s="48">
        <f t="shared" si="693"/>
        <v>1112920</v>
      </c>
      <c r="D377" s="48"/>
      <c r="J377" s="141">
        <f t="shared" si="688"/>
        <v>-177220</v>
      </c>
      <c r="K377" s="25">
        <f t="shared" si="689"/>
        <v>105242</v>
      </c>
      <c r="L377" s="25">
        <f t="shared" si="684"/>
        <v>232752.26941045592</v>
      </c>
      <c r="M377" s="25"/>
      <c r="N377" s="25"/>
      <c r="O377" s="25"/>
      <c r="P377" s="25">
        <f t="shared" si="690"/>
        <v>492158.32341085264</v>
      </c>
      <c r="Q377" s="25">
        <f t="shared" si="691"/>
        <v>-282851.09860465111</v>
      </c>
      <c r="R377" s="25">
        <f t="shared" si="685"/>
        <v>620256.98041820922</v>
      </c>
      <c r="S377" s="95">
        <f t="shared" si="692"/>
        <v>-154752.44159729595</v>
      </c>
      <c r="T377" s="25">
        <f t="shared" si="682"/>
        <v>1418522.2143234741</v>
      </c>
      <c r="U377" s="25">
        <f t="shared" si="683"/>
        <v>776443.85114146117</v>
      </c>
      <c r="Y377" s="25"/>
    </row>
    <row r="378" spans="1:25">
      <c r="A378" s="24"/>
      <c r="B378" s="48">
        <f t="shared" si="693"/>
        <v>13380730</v>
      </c>
      <c r="C378" s="48">
        <f t="shared" si="693"/>
        <v>1570618</v>
      </c>
      <c r="D378" s="48"/>
      <c r="J378" s="141">
        <f t="shared" si="688"/>
        <v>28482</v>
      </c>
      <c r="K378" s="25">
        <f t="shared" si="689"/>
        <v>205702</v>
      </c>
      <c r="L378" s="25">
        <f t="shared" si="684"/>
        <v>235619.75350389307</v>
      </c>
      <c r="M378" s="25"/>
      <c r="N378" s="25"/>
      <c r="O378" s="25"/>
      <c r="P378" s="25">
        <f t="shared" si="690"/>
        <v>492158.32341085264</v>
      </c>
      <c r="Q378" s="25">
        <f t="shared" si="691"/>
        <v>-282851.09860465111</v>
      </c>
      <c r="R378" s="25">
        <f t="shared" si="685"/>
        <v>623124.46451164642</v>
      </c>
      <c r="S378" s="95">
        <f t="shared" si="692"/>
        <v>-151884.95750385881</v>
      </c>
      <c r="T378" s="25">
        <f t="shared" si="682"/>
        <v>1418522.2143234741</v>
      </c>
      <c r="U378" s="25">
        <f t="shared" si="683"/>
        <v>776443.85114146117</v>
      </c>
      <c r="Y378" s="25"/>
    </row>
    <row r="379" spans="1:25">
      <c r="J379" s="141">
        <f t="shared" si="688"/>
        <v>-8061</v>
      </c>
      <c r="K379" s="25">
        <f t="shared" si="689"/>
        <v>36543</v>
      </c>
      <c r="L379" s="25">
        <f t="shared" si="684"/>
        <v>238487.23759733021</v>
      </c>
      <c r="M379" s="25"/>
      <c r="N379" s="25"/>
      <c r="O379" s="25"/>
      <c r="P379" s="25">
        <f t="shared" si="690"/>
        <v>492158.32341085264</v>
      </c>
      <c r="Q379" s="25">
        <f t="shared" si="691"/>
        <v>-282851.09860465111</v>
      </c>
      <c r="R379" s="25">
        <f t="shared" si="685"/>
        <v>625991.94860508363</v>
      </c>
      <c r="S379" s="95">
        <f t="shared" si="692"/>
        <v>-149017.47341042166</v>
      </c>
      <c r="T379" s="25">
        <f t="shared" si="682"/>
        <v>1418522.2143234741</v>
      </c>
      <c r="U379" s="25">
        <f t="shared" si="683"/>
        <v>776443.85114146117</v>
      </c>
      <c r="Y379" s="25"/>
    </row>
    <row r="380" spans="1:25">
      <c r="B380" s="48">
        <f t="shared" si="693"/>
        <v>14729177</v>
      </c>
      <c r="C380" s="48">
        <f t="shared" si="693"/>
        <v>1813765</v>
      </c>
      <c r="D380" s="48"/>
      <c r="J380" s="141">
        <f t="shared" si="688"/>
        <v>215945</v>
      </c>
      <c r="K380" s="25">
        <f t="shared" si="689"/>
        <v>224006</v>
      </c>
      <c r="L380" s="25">
        <f t="shared" si="684"/>
        <v>241354.72169076736</v>
      </c>
      <c r="M380" s="25"/>
      <c r="N380" s="25"/>
      <c r="O380" s="25"/>
      <c r="P380" s="25">
        <f t="shared" si="690"/>
        <v>492158.32341085264</v>
      </c>
      <c r="Q380" s="25">
        <f t="shared" si="691"/>
        <v>-282851.09860465111</v>
      </c>
      <c r="R380" s="25">
        <f t="shared" si="685"/>
        <v>628859.43269852083</v>
      </c>
      <c r="S380" s="95">
        <f t="shared" si="692"/>
        <v>-146149.98931698452</v>
      </c>
      <c r="T380" s="25">
        <f t="shared" si="682"/>
        <v>1418522.2143234741</v>
      </c>
      <c r="U380" s="25">
        <f t="shared" si="683"/>
        <v>776443.85114146117</v>
      </c>
      <c r="Y380" s="25"/>
    </row>
    <row r="381" spans="1:25">
      <c r="J381" s="141">
        <f t="shared" si="688"/>
        <v>175373</v>
      </c>
      <c r="K381" s="25">
        <f t="shared" si="689"/>
        <v>40572</v>
      </c>
      <c r="L381" s="25">
        <f t="shared" si="684"/>
        <v>244222.2057842045</v>
      </c>
      <c r="M381" s="25"/>
      <c r="N381" s="25"/>
      <c r="O381" s="25"/>
      <c r="P381" s="25">
        <f t="shared" si="690"/>
        <v>492158.32341085264</v>
      </c>
      <c r="Q381" s="25">
        <f t="shared" si="691"/>
        <v>-282851.09860465111</v>
      </c>
      <c r="R381" s="25">
        <f t="shared" si="685"/>
        <v>631726.91679195804</v>
      </c>
      <c r="S381" s="95">
        <f t="shared" si="692"/>
        <v>-143282.50522354737</v>
      </c>
      <c r="T381" s="25">
        <f t="shared" si="682"/>
        <v>1418522.2143234741</v>
      </c>
      <c r="U381" s="25">
        <f t="shared" si="683"/>
        <v>776443.85114146117</v>
      </c>
      <c r="Y381" s="25"/>
    </row>
    <row r="382" spans="1:25">
      <c r="J382" s="141">
        <f t="shared" si="688"/>
        <v>454972</v>
      </c>
      <c r="K382" s="25">
        <f t="shared" si="689"/>
        <v>279599</v>
      </c>
      <c r="L382" s="25">
        <f t="shared" si="684"/>
        <v>247089.68987764165</v>
      </c>
      <c r="M382" s="25"/>
      <c r="N382" s="25"/>
      <c r="O382" s="25"/>
      <c r="P382" s="25">
        <f t="shared" si="690"/>
        <v>492158.32341085264</v>
      </c>
      <c r="Q382" s="25">
        <f t="shared" si="691"/>
        <v>-282851.09860465111</v>
      </c>
      <c r="R382" s="25">
        <f t="shared" si="685"/>
        <v>634594.40088539524</v>
      </c>
      <c r="S382" s="95">
        <f t="shared" si="692"/>
        <v>-140415.02113011022</v>
      </c>
      <c r="T382" s="25">
        <f t="shared" si="682"/>
        <v>1418522.2143234741</v>
      </c>
      <c r="U382" s="25">
        <f t="shared" si="683"/>
        <v>776443.85114146117</v>
      </c>
      <c r="Y382" s="25"/>
    </row>
    <row r="383" spans="1:25">
      <c r="J383" s="141">
        <f t="shared" si="688"/>
        <v>474</v>
      </c>
      <c r="K383" s="25">
        <f t="shared" si="689"/>
        <v>454498</v>
      </c>
      <c r="L383" s="25">
        <f t="shared" si="684"/>
        <v>249957.1739710788</v>
      </c>
      <c r="M383" s="25"/>
      <c r="N383" s="25"/>
      <c r="O383" s="25"/>
      <c r="P383" s="25">
        <f t="shared" si="690"/>
        <v>492158.32341085264</v>
      </c>
      <c r="Q383" s="25">
        <f t="shared" si="691"/>
        <v>-282851.09860465111</v>
      </c>
      <c r="R383" s="25">
        <f t="shared" si="685"/>
        <v>637461.88497883244</v>
      </c>
      <c r="S383" s="95">
        <f t="shared" si="692"/>
        <v>-137547.53703667308</v>
      </c>
      <c r="T383" s="25">
        <f t="shared" si="682"/>
        <v>1418522.2143234741</v>
      </c>
      <c r="U383" s="25">
        <f t="shared" si="683"/>
        <v>776443.85114146117</v>
      </c>
      <c r="Y383" s="25"/>
    </row>
    <row r="384" spans="1:25">
      <c r="J384" s="141">
        <f t="shared" si="688"/>
        <v>231979</v>
      </c>
      <c r="K384" s="25">
        <f t="shared" si="689"/>
        <v>231505</v>
      </c>
      <c r="L384" s="25">
        <f t="shared" si="684"/>
        <v>252824.65806451594</v>
      </c>
      <c r="M384" s="25"/>
      <c r="N384" s="25"/>
      <c r="O384" s="25"/>
      <c r="P384" s="25">
        <f t="shared" si="690"/>
        <v>492158.32341085264</v>
      </c>
      <c r="Q384" s="25">
        <f t="shared" si="691"/>
        <v>-282851.09860465111</v>
      </c>
      <c r="R384" s="25">
        <f t="shared" si="685"/>
        <v>640329.36907226965</v>
      </c>
      <c r="S384" s="95">
        <f t="shared" si="692"/>
        <v>-134680.05294323593</v>
      </c>
      <c r="T384" s="25">
        <f t="shared" si="682"/>
        <v>1418522.2143234741</v>
      </c>
      <c r="U384" s="25">
        <f t="shared" si="683"/>
        <v>776443.85114146117</v>
      </c>
      <c r="Y384" s="25"/>
    </row>
    <row r="385" spans="1:25">
      <c r="A385" s="24"/>
      <c r="B385" s="48">
        <f>SUM(B355:B368)</f>
        <v>14644393</v>
      </c>
      <c r="C385" s="48">
        <f>SUM(C355:C368)</f>
        <v>1820388</v>
      </c>
      <c r="D385" s="48"/>
      <c r="J385" s="141">
        <f t="shared" si="688"/>
        <v>229830</v>
      </c>
      <c r="K385" s="25">
        <f t="shared" si="689"/>
        <v>2149</v>
      </c>
      <c r="L385" s="25">
        <f t="shared" si="684"/>
        <v>255692.14215795309</v>
      </c>
      <c r="M385" s="25"/>
      <c r="N385" s="25"/>
      <c r="O385" s="25"/>
      <c r="P385" s="25">
        <f t="shared" si="690"/>
        <v>492158.32341085264</v>
      </c>
      <c r="Q385" s="25">
        <f t="shared" si="691"/>
        <v>-282851.09860465111</v>
      </c>
      <c r="R385" s="25">
        <f t="shared" si="685"/>
        <v>643196.85316570685</v>
      </c>
      <c r="S385" s="95">
        <f t="shared" si="692"/>
        <v>-131812.56884979879</v>
      </c>
      <c r="T385" s="25">
        <f t="shared" si="682"/>
        <v>1418522.2143234741</v>
      </c>
      <c r="U385" s="25">
        <f t="shared" si="683"/>
        <v>776443.85114146117</v>
      </c>
      <c r="Y385" s="25"/>
    </row>
    <row r="386" spans="1:25">
      <c r="J386" s="141">
        <f t="shared" si="688"/>
        <v>-38537</v>
      </c>
      <c r="K386" s="25">
        <f t="shared" si="689"/>
        <v>268367</v>
      </c>
      <c r="L386" s="25">
        <f t="shared" ref="L386:L417" si="694">L385+$C$491</f>
        <v>258559.62625139023</v>
      </c>
      <c r="M386" s="25"/>
      <c r="N386" s="25"/>
      <c r="O386" s="25"/>
      <c r="P386" s="25">
        <f t="shared" si="690"/>
        <v>492158.32341085264</v>
      </c>
      <c r="Q386" s="25">
        <f t="shared" si="691"/>
        <v>-282851.09860465111</v>
      </c>
      <c r="R386" s="25">
        <f t="shared" ref="R386:R417" si="695">R385+$C$491</f>
        <v>646064.33725914406</v>
      </c>
      <c r="S386" s="95">
        <f t="shared" si="692"/>
        <v>-128945.08475636164</v>
      </c>
      <c r="T386" s="25">
        <f t="shared" si="682"/>
        <v>1418522.2143234741</v>
      </c>
      <c r="U386" s="25">
        <f t="shared" si="683"/>
        <v>776443.85114146117</v>
      </c>
      <c r="Y386" s="25"/>
    </row>
    <row r="387" spans="1:25">
      <c r="J387" s="141">
        <f t="shared" si="688"/>
        <v>118859</v>
      </c>
      <c r="K387" s="25">
        <f t="shared" si="689"/>
        <v>157396</v>
      </c>
      <c r="L387" s="25">
        <f t="shared" si="694"/>
        <v>261427.11034482738</v>
      </c>
      <c r="M387" s="25"/>
      <c r="N387" s="25"/>
      <c r="O387" s="25"/>
      <c r="P387" s="25">
        <f t="shared" si="690"/>
        <v>492158.32341085264</v>
      </c>
      <c r="Q387" s="25">
        <f t="shared" si="691"/>
        <v>-282851.09860465111</v>
      </c>
      <c r="R387" s="25">
        <f t="shared" si="695"/>
        <v>648931.82135258126</v>
      </c>
      <c r="S387" s="95">
        <f t="shared" si="692"/>
        <v>-126077.60066292449</v>
      </c>
      <c r="T387" s="25">
        <f t="shared" si="682"/>
        <v>1418522.2143234741</v>
      </c>
      <c r="U387" s="25">
        <f t="shared" si="683"/>
        <v>776443.85114146117</v>
      </c>
      <c r="Y387" s="25"/>
    </row>
    <row r="388" spans="1:25">
      <c r="J388" s="141">
        <f t="shared" si="688"/>
        <v>-280000</v>
      </c>
      <c r="K388" s="25">
        <f t="shared" si="689"/>
        <v>398859</v>
      </c>
      <c r="L388" s="25">
        <f t="shared" si="694"/>
        <v>264294.5944382645</v>
      </c>
      <c r="M388" s="25"/>
      <c r="N388" s="25"/>
      <c r="O388" s="25"/>
      <c r="P388" s="25">
        <f t="shared" si="690"/>
        <v>492158.32341085264</v>
      </c>
      <c r="Q388" s="25">
        <f t="shared" si="691"/>
        <v>-282851.09860465111</v>
      </c>
      <c r="R388" s="25">
        <f t="shared" si="695"/>
        <v>651799.30544601846</v>
      </c>
      <c r="S388" s="95">
        <f t="shared" si="692"/>
        <v>-123210.11656948738</v>
      </c>
      <c r="T388" s="25">
        <f t="shared" si="682"/>
        <v>1418522.2143234741</v>
      </c>
      <c r="U388" s="25">
        <f t="shared" si="683"/>
        <v>776443.85114146117</v>
      </c>
      <c r="Y388" s="25"/>
    </row>
    <row r="389" spans="1:25">
      <c r="J389" s="141">
        <f t="shared" si="688"/>
        <v>-52970</v>
      </c>
      <c r="K389" s="25">
        <f t="shared" si="689"/>
        <v>227030</v>
      </c>
      <c r="L389" s="25">
        <f t="shared" si="694"/>
        <v>267162.07853170164</v>
      </c>
      <c r="M389" s="25"/>
      <c r="N389" s="25"/>
      <c r="O389" s="25"/>
      <c r="P389" s="25">
        <f t="shared" si="690"/>
        <v>492158.32341085264</v>
      </c>
      <c r="Q389" s="25">
        <f t="shared" si="691"/>
        <v>-282851.09860465111</v>
      </c>
      <c r="R389" s="25">
        <f t="shared" si="695"/>
        <v>654666.78953945567</v>
      </c>
      <c r="S389" s="95">
        <f t="shared" si="692"/>
        <v>-120342.63247605023</v>
      </c>
      <c r="T389" s="25">
        <f t="shared" si="682"/>
        <v>1418522.2143234741</v>
      </c>
      <c r="U389" s="25">
        <f t="shared" si="683"/>
        <v>776443.85114146117</v>
      </c>
      <c r="Y389" s="25"/>
    </row>
    <row r="390" spans="1:25">
      <c r="J390" s="141">
        <f t="shared" ref="J390:J421" si="696">C196</f>
        <v>-220289</v>
      </c>
      <c r="K390" s="25">
        <f t="shared" ref="K390:K421" si="697">L196</f>
        <v>167319</v>
      </c>
      <c r="L390" s="25">
        <f t="shared" si="694"/>
        <v>270029.56262513879</v>
      </c>
      <c r="M390" s="25"/>
      <c r="N390" s="25"/>
      <c r="O390" s="25"/>
      <c r="P390" s="25">
        <f t="shared" ref="P390:P421" si="698">$A$491+1.88*$B$491</f>
        <v>492158.32341085264</v>
      </c>
      <c r="Q390" s="25">
        <f t="shared" ref="Q390:Q421" si="699">$A$491-1.88*$B$491</f>
        <v>-282851.09860465111</v>
      </c>
      <c r="R390" s="25">
        <f t="shared" si="695"/>
        <v>657534.27363289287</v>
      </c>
      <c r="S390" s="95">
        <f t="shared" ref="S390:S421" si="700">L390-$B$491*1.88</f>
        <v>-117475.14838261309</v>
      </c>
      <c r="T390" s="25">
        <f t="shared" ref="T390:T447" si="701">$R$317+1.88*$S$317</f>
        <v>1418522.2143234741</v>
      </c>
      <c r="U390" s="25">
        <f t="shared" ref="U390:U447" si="702">$R$317-1.88*$S$317</f>
        <v>776443.85114146117</v>
      </c>
      <c r="Y390" s="25"/>
    </row>
    <row r="391" spans="1:25">
      <c r="J391" s="141">
        <f t="shared" si="696"/>
        <v>324211</v>
      </c>
      <c r="K391" s="25">
        <f t="shared" si="697"/>
        <v>544500</v>
      </c>
      <c r="L391" s="25">
        <f t="shared" si="694"/>
        <v>272897.04671857593</v>
      </c>
      <c r="M391" s="25"/>
      <c r="N391" s="25"/>
      <c r="O391" s="25"/>
      <c r="P391" s="25">
        <f t="shared" si="698"/>
        <v>492158.32341085264</v>
      </c>
      <c r="Q391" s="25">
        <f t="shared" si="699"/>
        <v>-282851.09860465111</v>
      </c>
      <c r="R391" s="25">
        <f t="shared" si="695"/>
        <v>660401.75772633008</v>
      </c>
      <c r="S391" s="95">
        <f t="shared" si="700"/>
        <v>-114607.66428917594</v>
      </c>
      <c r="T391" s="25">
        <f t="shared" si="701"/>
        <v>1418522.2143234741</v>
      </c>
      <c r="U391" s="25">
        <f t="shared" si="702"/>
        <v>776443.85114146117</v>
      </c>
      <c r="Y391" s="25"/>
    </row>
    <row r="392" spans="1:25">
      <c r="J392" s="141">
        <f t="shared" si="696"/>
        <v>-123434</v>
      </c>
      <c r="K392" s="25">
        <f t="shared" si="697"/>
        <v>447645</v>
      </c>
      <c r="L392" s="25">
        <f t="shared" si="694"/>
        <v>275764.53081201308</v>
      </c>
      <c r="M392" s="25"/>
      <c r="N392" s="25"/>
      <c r="O392" s="25"/>
      <c r="P392" s="25">
        <f t="shared" si="698"/>
        <v>492158.32341085264</v>
      </c>
      <c r="Q392" s="25">
        <f t="shared" si="699"/>
        <v>-282851.09860465111</v>
      </c>
      <c r="R392" s="25">
        <f t="shared" si="695"/>
        <v>663269.24181976728</v>
      </c>
      <c r="S392" s="95">
        <f t="shared" si="700"/>
        <v>-111740.18019573879</v>
      </c>
      <c r="T392" s="25">
        <f t="shared" si="701"/>
        <v>1418522.2143234741</v>
      </c>
      <c r="U392" s="25">
        <f t="shared" si="702"/>
        <v>776443.85114146117</v>
      </c>
      <c r="Y392" s="25"/>
    </row>
    <row r="393" spans="1:25">
      <c r="J393" s="141">
        <f t="shared" si="696"/>
        <v>-121704</v>
      </c>
      <c r="K393" s="25">
        <f t="shared" si="697"/>
        <v>1730</v>
      </c>
      <c r="L393" s="25">
        <f t="shared" si="694"/>
        <v>278632.01490545023</v>
      </c>
      <c r="M393" s="25"/>
      <c r="N393" s="25"/>
      <c r="O393" s="25"/>
      <c r="P393" s="25">
        <f t="shared" si="698"/>
        <v>492158.32341085264</v>
      </c>
      <c r="Q393" s="25">
        <f t="shared" si="699"/>
        <v>-282851.09860465111</v>
      </c>
      <c r="R393" s="25">
        <f t="shared" si="695"/>
        <v>666136.72591320449</v>
      </c>
      <c r="S393" s="95">
        <f t="shared" si="700"/>
        <v>-108872.69610230165</v>
      </c>
      <c r="T393" s="25">
        <f t="shared" si="701"/>
        <v>1418522.2143234741</v>
      </c>
      <c r="U393" s="25">
        <f t="shared" si="702"/>
        <v>776443.85114146117</v>
      </c>
      <c r="Y393" s="25"/>
    </row>
    <row r="394" spans="1:25">
      <c r="J394" s="141">
        <f t="shared" si="696"/>
        <v>381530</v>
      </c>
      <c r="K394" s="25">
        <f t="shared" si="697"/>
        <v>503234</v>
      </c>
      <c r="L394" s="25">
        <f t="shared" si="694"/>
        <v>281499.49899888737</v>
      </c>
      <c r="M394" s="25"/>
      <c r="N394" s="25"/>
      <c r="O394" s="25"/>
      <c r="P394" s="25">
        <f t="shared" si="698"/>
        <v>492158.32341085264</v>
      </c>
      <c r="Q394" s="25">
        <f t="shared" si="699"/>
        <v>-282851.09860465111</v>
      </c>
      <c r="R394" s="25">
        <f t="shared" si="695"/>
        <v>669004.21000664169</v>
      </c>
      <c r="S394" s="95">
        <f t="shared" si="700"/>
        <v>-106005.2120088645</v>
      </c>
      <c r="T394" s="25">
        <f t="shared" si="701"/>
        <v>1418522.2143234741</v>
      </c>
      <c r="U394" s="25">
        <f t="shared" si="702"/>
        <v>776443.85114146117</v>
      </c>
      <c r="Y394" s="25"/>
    </row>
    <row r="395" spans="1:25">
      <c r="J395" s="141">
        <f t="shared" si="696"/>
        <v>-372710</v>
      </c>
      <c r="K395" s="25">
        <f t="shared" si="697"/>
        <v>754240</v>
      </c>
      <c r="L395" s="25">
        <f t="shared" si="694"/>
        <v>284366.98309232452</v>
      </c>
      <c r="M395" s="25"/>
      <c r="N395" s="25"/>
      <c r="O395" s="25"/>
      <c r="P395" s="25">
        <f t="shared" si="698"/>
        <v>492158.32341085264</v>
      </c>
      <c r="Q395" s="25">
        <f t="shared" si="699"/>
        <v>-282851.09860465111</v>
      </c>
      <c r="R395" s="25">
        <f t="shared" si="695"/>
        <v>671871.69410007889</v>
      </c>
      <c r="S395" s="95">
        <f t="shared" si="700"/>
        <v>-103137.72791542736</v>
      </c>
      <c r="T395" s="25">
        <f t="shared" si="701"/>
        <v>1418522.2143234741</v>
      </c>
      <c r="U395" s="25">
        <f t="shared" si="702"/>
        <v>776443.85114146117</v>
      </c>
      <c r="Y395" s="25"/>
    </row>
    <row r="396" spans="1:25">
      <c r="J396" s="141">
        <f t="shared" si="696"/>
        <v>-126302</v>
      </c>
      <c r="K396" s="25">
        <f t="shared" si="697"/>
        <v>246408</v>
      </c>
      <c r="L396" s="25">
        <f t="shared" si="694"/>
        <v>287234.46718576166</v>
      </c>
      <c r="M396" s="25"/>
      <c r="N396" s="25"/>
      <c r="O396" s="25"/>
      <c r="P396" s="25">
        <f t="shared" si="698"/>
        <v>492158.32341085264</v>
      </c>
      <c r="Q396" s="25">
        <f t="shared" si="699"/>
        <v>-282851.09860465111</v>
      </c>
      <c r="R396" s="25">
        <f t="shared" si="695"/>
        <v>674739.1781935161</v>
      </c>
      <c r="S396" s="95">
        <f t="shared" si="700"/>
        <v>-100270.24382199021</v>
      </c>
      <c r="T396" s="25">
        <f t="shared" si="701"/>
        <v>1418522.2143234741</v>
      </c>
      <c r="U396" s="25">
        <f t="shared" si="702"/>
        <v>776443.85114146117</v>
      </c>
      <c r="Y396" s="25"/>
    </row>
    <row r="397" spans="1:25">
      <c r="J397" s="141">
        <f t="shared" si="696"/>
        <v>240940</v>
      </c>
      <c r="K397" s="25">
        <f t="shared" si="697"/>
        <v>367242</v>
      </c>
      <c r="L397" s="25">
        <f t="shared" si="694"/>
        <v>290101.95127919881</v>
      </c>
      <c r="M397" s="25"/>
      <c r="N397" s="25"/>
      <c r="O397" s="25"/>
      <c r="P397" s="25">
        <f t="shared" si="698"/>
        <v>492158.32341085264</v>
      </c>
      <c r="Q397" s="25">
        <f t="shared" si="699"/>
        <v>-282851.09860465111</v>
      </c>
      <c r="R397" s="25">
        <f t="shared" si="695"/>
        <v>677606.6622869533</v>
      </c>
      <c r="S397" s="95">
        <f t="shared" si="700"/>
        <v>-97402.759728553065</v>
      </c>
      <c r="T397" s="25">
        <f t="shared" si="701"/>
        <v>1418522.2143234741</v>
      </c>
      <c r="U397" s="25">
        <f t="shared" si="702"/>
        <v>776443.85114146117</v>
      </c>
      <c r="Y397" s="25"/>
    </row>
    <row r="398" spans="1:25">
      <c r="D398" s="779" t="s">
        <v>70</v>
      </c>
      <c r="E398" s="779" t="s">
        <v>70</v>
      </c>
      <c r="F398" s="779"/>
      <c r="G398" s="779"/>
      <c r="H398" s="80" t="s">
        <v>70</v>
      </c>
      <c r="J398" s="141">
        <f t="shared" si="696"/>
        <v>184135</v>
      </c>
      <c r="K398" s="25">
        <f t="shared" si="697"/>
        <v>56805</v>
      </c>
      <c r="L398" s="25">
        <f t="shared" si="694"/>
        <v>292969.43537263595</v>
      </c>
      <c r="M398" s="25"/>
      <c r="N398" s="25"/>
      <c r="O398" s="25"/>
      <c r="P398" s="25">
        <f t="shared" si="698"/>
        <v>492158.32341085264</v>
      </c>
      <c r="Q398" s="25">
        <f t="shared" si="699"/>
        <v>-282851.09860465111</v>
      </c>
      <c r="R398" s="25">
        <f t="shared" si="695"/>
        <v>680474.14638039051</v>
      </c>
      <c r="S398" s="95">
        <f t="shared" si="700"/>
        <v>-94535.275635115919</v>
      </c>
      <c r="T398" s="25">
        <f t="shared" si="701"/>
        <v>1418522.2143234741</v>
      </c>
      <c r="U398" s="25">
        <f t="shared" si="702"/>
        <v>776443.85114146117</v>
      </c>
      <c r="Y398" s="25"/>
    </row>
    <row r="399" spans="1:25">
      <c r="D399" s="358" t="s">
        <v>1017</v>
      </c>
      <c r="E399" s="358" t="s">
        <v>1017</v>
      </c>
      <c r="F399" s="358"/>
      <c r="G399" s="358"/>
      <c r="H399" s="674" t="s">
        <v>240</v>
      </c>
      <c r="J399" s="141">
        <f t="shared" si="696"/>
        <v>-147743</v>
      </c>
      <c r="K399" s="25">
        <f t="shared" si="697"/>
        <v>331878</v>
      </c>
      <c r="L399" s="25">
        <f t="shared" si="694"/>
        <v>295836.9194660731</v>
      </c>
      <c r="M399" s="25"/>
      <c r="N399" s="25"/>
      <c r="O399" s="25"/>
      <c r="P399" s="25">
        <f t="shared" si="698"/>
        <v>492158.32341085264</v>
      </c>
      <c r="Q399" s="25">
        <f t="shared" si="699"/>
        <v>-282851.09860465111</v>
      </c>
      <c r="R399" s="25">
        <f t="shared" si="695"/>
        <v>683341.63047382771</v>
      </c>
      <c r="S399" s="95">
        <f t="shared" si="700"/>
        <v>-91667.791541678773</v>
      </c>
      <c r="T399" s="25">
        <f t="shared" si="701"/>
        <v>1418522.2143234741</v>
      </c>
      <c r="U399" s="25">
        <f t="shared" si="702"/>
        <v>776443.85114146117</v>
      </c>
      <c r="Y399" s="25"/>
    </row>
    <row r="400" spans="1:25">
      <c r="D400" s="780" t="s">
        <v>641</v>
      </c>
      <c r="E400" s="781" t="s">
        <v>1012</v>
      </c>
      <c r="F400" s="781"/>
      <c r="G400" s="781"/>
      <c r="H400" s="60" t="s">
        <v>1535</v>
      </c>
      <c r="J400" s="141">
        <f t="shared" si="696"/>
        <v>-218758</v>
      </c>
      <c r="K400" s="25">
        <f t="shared" si="697"/>
        <v>71015</v>
      </c>
      <c r="L400" s="25">
        <f t="shared" si="694"/>
        <v>298704.40355951025</v>
      </c>
      <c r="M400" s="25"/>
      <c r="N400" s="25"/>
      <c r="O400" s="25"/>
      <c r="P400" s="25">
        <f t="shared" si="698"/>
        <v>492158.32341085264</v>
      </c>
      <c r="Q400" s="25">
        <f t="shared" si="699"/>
        <v>-282851.09860465111</v>
      </c>
      <c r="R400" s="25">
        <f t="shared" si="695"/>
        <v>686209.11456726491</v>
      </c>
      <c r="S400" s="95">
        <f t="shared" si="700"/>
        <v>-88800.307448241627</v>
      </c>
      <c r="T400" s="25">
        <f t="shared" si="701"/>
        <v>1418522.2143234741</v>
      </c>
      <c r="U400" s="25">
        <f t="shared" si="702"/>
        <v>776443.85114146117</v>
      </c>
      <c r="Y400" s="25"/>
    </row>
    <row r="401" spans="4:25">
      <c r="D401" s="48">
        <f t="shared" ref="D401:D464" si="703">AVERAGE(J342:J401)</f>
        <v>89169.866666666669</v>
      </c>
      <c r="I401" s="231">
        <v>36920</v>
      </c>
      <c r="J401" s="141">
        <f t="shared" si="696"/>
        <v>-290236</v>
      </c>
      <c r="K401" s="25">
        <f t="shared" si="697"/>
        <v>71478</v>
      </c>
      <c r="L401" s="25">
        <f t="shared" si="694"/>
        <v>301571.88765294739</v>
      </c>
      <c r="M401" s="25"/>
      <c r="N401" s="25"/>
      <c r="O401" s="25"/>
      <c r="P401" s="25">
        <f t="shared" si="698"/>
        <v>492158.32341085264</v>
      </c>
      <c r="Q401" s="25">
        <f t="shared" si="699"/>
        <v>-282851.09860465111</v>
      </c>
      <c r="R401" s="25">
        <f t="shared" si="695"/>
        <v>689076.59866070212</v>
      </c>
      <c r="S401" s="95">
        <f t="shared" si="700"/>
        <v>-85932.823354804481</v>
      </c>
      <c r="T401" s="25">
        <f t="shared" si="701"/>
        <v>1418522.2143234741</v>
      </c>
      <c r="U401" s="25">
        <f t="shared" si="702"/>
        <v>776443.85114146117</v>
      </c>
      <c r="Y401" s="25"/>
    </row>
    <row r="402" spans="4:25">
      <c r="D402" s="48">
        <f t="shared" si="703"/>
        <v>82873.383333333331</v>
      </c>
      <c r="I402" s="231">
        <v>36949</v>
      </c>
      <c r="J402" s="141">
        <f t="shared" si="696"/>
        <v>-266960</v>
      </c>
      <c r="K402" s="25">
        <f t="shared" si="697"/>
        <v>23276</v>
      </c>
      <c r="L402" s="25">
        <f t="shared" si="694"/>
        <v>304439.37174638454</v>
      </c>
      <c r="M402" s="25"/>
      <c r="N402" s="25"/>
      <c r="O402" s="25"/>
      <c r="P402" s="25">
        <f t="shared" si="698"/>
        <v>492158.32341085264</v>
      </c>
      <c r="Q402" s="25">
        <f t="shared" si="699"/>
        <v>-282851.09860465111</v>
      </c>
      <c r="R402" s="25">
        <f t="shared" si="695"/>
        <v>691944.08275413932</v>
      </c>
      <c r="S402" s="95">
        <f t="shared" si="700"/>
        <v>-83065.339261367335</v>
      </c>
      <c r="T402" s="25">
        <f t="shared" si="701"/>
        <v>1418522.2143234741</v>
      </c>
      <c r="U402" s="25">
        <f t="shared" si="702"/>
        <v>776443.85114146117</v>
      </c>
      <c r="Y402" s="25"/>
    </row>
    <row r="403" spans="4:25">
      <c r="D403" s="48">
        <f t="shared" si="703"/>
        <v>85487.45</v>
      </c>
      <c r="I403" s="231">
        <v>36979</v>
      </c>
      <c r="J403" s="141">
        <f t="shared" si="696"/>
        <v>434026</v>
      </c>
      <c r="K403" s="25">
        <f t="shared" si="697"/>
        <v>700986</v>
      </c>
      <c r="L403" s="25">
        <f t="shared" si="694"/>
        <v>307306.85583982168</v>
      </c>
      <c r="M403" s="25"/>
      <c r="N403" s="25"/>
      <c r="O403" s="25"/>
      <c r="P403" s="25">
        <f t="shared" si="698"/>
        <v>492158.32341085264</v>
      </c>
      <c r="Q403" s="25">
        <f t="shared" si="699"/>
        <v>-282851.09860465111</v>
      </c>
      <c r="R403" s="25">
        <f t="shared" si="695"/>
        <v>694811.56684757653</v>
      </c>
      <c r="S403" s="95">
        <f t="shared" si="700"/>
        <v>-80197.855167930189</v>
      </c>
      <c r="T403" s="25">
        <f t="shared" si="701"/>
        <v>1418522.2143234741</v>
      </c>
      <c r="U403" s="25">
        <f t="shared" si="702"/>
        <v>776443.85114146117</v>
      </c>
      <c r="Y403" s="25"/>
    </row>
    <row r="404" spans="4:25">
      <c r="D404" s="48">
        <f t="shared" si="703"/>
        <v>88673.2</v>
      </c>
      <c r="I404" s="231">
        <v>37010</v>
      </c>
      <c r="J404" s="141">
        <f t="shared" si="696"/>
        <v>164609</v>
      </c>
      <c r="K404" s="25">
        <f t="shared" si="697"/>
        <v>269417</v>
      </c>
      <c r="L404" s="25">
        <f t="shared" si="694"/>
        <v>310174.33993325883</v>
      </c>
      <c r="M404" s="25"/>
      <c r="N404" s="25"/>
      <c r="O404" s="25"/>
      <c r="P404" s="25">
        <f t="shared" si="698"/>
        <v>492158.32341085264</v>
      </c>
      <c r="Q404" s="25">
        <f t="shared" si="699"/>
        <v>-282851.09860465111</v>
      </c>
      <c r="R404" s="25">
        <f t="shared" si="695"/>
        <v>697679.05094101373</v>
      </c>
      <c r="S404" s="95">
        <f t="shared" si="700"/>
        <v>-77330.371074493043</v>
      </c>
      <c r="T404" s="25">
        <f t="shared" si="701"/>
        <v>1418522.2143234741</v>
      </c>
      <c r="U404" s="25">
        <f t="shared" si="702"/>
        <v>776443.85114146117</v>
      </c>
      <c r="Y404" s="25"/>
    </row>
    <row r="405" spans="4:25">
      <c r="D405" s="48">
        <f t="shared" si="703"/>
        <v>88479.15</v>
      </c>
      <c r="I405" s="231">
        <v>37040</v>
      </c>
      <c r="J405" s="141">
        <f t="shared" si="696"/>
        <v>446055</v>
      </c>
      <c r="K405" s="25">
        <f t="shared" si="697"/>
        <v>281446</v>
      </c>
      <c r="L405" s="25">
        <f t="shared" si="694"/>
        <v>313041.82402669598</v>
      </c>
      <c r="M405" s="25"/>
      <c r="N405" s="25"/>
      <c r="O405" s="25"/>
      <c r="P405" s="25">
        <f t="shared" si="698"/>
        <v>492158.32341085264</v>
      </c>
      <c r="Q405" s="25">
        <f t="shared" si="699"/>
        <v>-282851.09860465111</v>
      </c>
      <c r="R405" s="25">
        <f t="shared" si="695"/>
        <v>700546.53503445094</v>
      </c>
      <c r="S405" s="95">
        <f t="shared" si="700"/>
        <v>-74462.886981055897</v>
      </c>
      <c r="T405" s="25">
        <f t="shared" si="701"/>
        <v>1418522.2143234741</v>
      </c>
      <c r="U405" s="25">
        <f t="shared" si="702"/>
        <v>776443.85114146117</v>
      </c>
      <c r="Y405" s="25"/>
    </row>
    <row r="406" spans="4:25">
      <c r="D406" s="48">
        <f t="shared" si="703"/>
        <v>87556.366666666669</v>
      </c>
      <c r="I406" s="231">
        <v>37071</v>
      </c>
      <c r="J406" s="141">
        <f t="shared" si="696"/>
        <v>194403</v>
      </c>
      <c r="K406" s="25">
        <f t="shared" si="697"/>
        <v>251652</v>
      </c>
      <c r="L406" s="25">
        <f t="shared" si="694"/>
        <v>315909.30812013312</v>
      </c>
      <c r="M406" s="25"/>
      <c r="N406" s="25"/>
      <c r="O406" s="25"/>
      <c r="P406" s="25">
        <f t="shared" si="698"/>
        <v>492158.32341085264</v>
      </c>
      <c r="Q406" s="25">
        <f t="shared" si="699"/>
        <v>-282851.09860465111</v>
      </c>
      <c r="R406" s="25">
        <f t="shared" si="695"/>
        <v>703414.01912788814</v>
      </c>
      <c r="S406" s="95">
        <f t="shared" si="700"/>
        <v>-71595.402887618751</v>
      </c>
      <c r="T406" s="25">
        <f t="shared" si="701"/>
        <v>1418522.2143234741</v>
      </c>
      <c r="U406" s="25">
        <f t="shared" si="702"/>
        <v>776443.85114146117</v>
      </c>
      <c r="Y406" s="25"/>
    </row>
    <row r="407" spans="4:25">
      <c r="D407" s="48">
        <f t="shared" si="703"/>
        <v>79365.633333333331</v>
      </c>
      <c r="I407" s="231">
        <v>37101</v>
      </c>
      <c r="J407" s="141">
        <f t="shared" si="696"/>
        <v>-349032</v>
      </c>
      <c r="K407" s="25">
        <f t="shared" si="697"/>
        <v>543435</v>
      </c>
      <c r="L407" s="25">
        <f t="shared" si="694"/>
        <v>318776.79221357027</v>
      </c>
      <c r="M407" s="25"/>
      <c r="N407" s="25"/>
      <c r="O407" s="25"/>
      <c r="P407" s="25">
        <f t="shared" si="698"/>
        <v>492158.32341085264</v>
      </c>
      <c r="Q407" s="25">
        <f t="shared" si="699"/>
        <v>-282851.09860465111</v>
      </c>
      <c r="R407" s="25">
        <f t="shared" si="695"/>
        <v>706281.50322132534</v>
      </c>
      <c r="S407" s="95">
        <f t="shared" si="700"/>
        <v>-68727.918794181605</v>
      </c>
      <c r="T407" s="25">
        <f t="shared" si="701"/>
        <v>1418522.2143234741</v>
      </c>
      <c r="U407" s="25">
        <f t="shared" si="702"/>
        <v>776443.85114146117</v>
      </c>
      <c r="Y407" s="25"/>
    </row>
    <row r="408" spans="4:25">
      <c r="D408" s="48">
        <f t="shared" si="703"/>
        <v>77483.633333333331</v>
      </c>
      <c r="I408" s="231">
        <v>37132</v>
      </c>
      <c r="J408" s="141">
        <f t="shared" si="696"/>
        <v>44364</v>
      </c>
      <c r="K408" s="25">
        <f t="shared" si="697"/>
        <v>393396</v>
      </c>
      <c r="L408" s="25">
        <f t="shared" si="694"/>
        <v>321644.27630700741</v>
      </c>
      <c r="M408" s="25"/>
      <c r="N408" s="25"/>
      <c r="O408" s="25"/>
      <c r="P408" s="25">
        <f t="shared" si="698"/>
        <v>492158.32341085264</v>
      </c>
      <c r="Q408" s="25">
        <f t="shared" si="699"/>
        <v>-282851.09860465111</v>
      </c>
      <c r="R408" s="25">
        <f t="shared" si="695"/>
        <v>709148.98731476255</v>
      </c>
      <c r="S408" s="95">
        <f t="shared" si="700"/>
        <v>-65860.434700744459</v>
      </c>
      <c r="T408" s="25">
        <f t="shared" si="701"/>
        <v>1418522.2143234741</v>
      </c>
      <c r="U408" s="25">
        <f t="shared" si="702"/>
        <v>776443.85114146117</v>
      </c>
      <c r="Y408" s="25"/>
    </row>
    <row r="409" spans="4:25">
      <c r="D409" s="48">
        <f t="shared" si="703"/>
        <v>74574.5</v>
      </c>
      <c r="I409" s="231">
        <v>37163</v>
      </c>
      <c r="J409" s="141">
        <f t="shared" si="696"/>
        <v>76214</v>
      </c>
      <c r="K409" s="25">
        <f t="shared" si="697"/>
        <v>31850</v>
      </c>
      <c r="L409" s="25">
        <f t="shared" si="694"/>
        <v>324511.76040044456</v>
      </c>
      <c r="M409" s="25"/>
      <c r="N409" s="25"/>
      <c r="O409" s="25"/>
      <c r="P409" s="25">
        <f t="shared" si="698"/>
        <v>492158.32341085264</v>
      </c>
      <c r="Q409" s="25">
        <f t="shared" si="699"/>
        <v>-282851.09860465111</v>
      </c>
      <c r="R409" s="25">
        <f t="shared" si="695"/>
        <v>712016.47140819975</v>
      </c>
      <c r="S409" s="95">
        <f t="shared" si="700"/>
        <v>-62992.950607307313</v>
      </c>
      <c r="T409" s="25">
        <f t="shared" si="701"/>
        <v>1418522.2143234741</v>
      </c>
      <c r="U409" s="25">
        <f t="shared" si="702"/>
        <v>776443.85114146117</v>
      </c>
      <c r="Y409" s="25"/>
    </row>
    <row r="410" spans="4:25">
      <c r="D410" s="48">
        <f t="shared" si="703"/>
        <v>70104.866666666669</v>
      </c>
      <c r="I410" s="231">
        <v>37193</v>
      </c>
      <c r="J410" s="141">
        <f t="shared" si="696"/>
        <v>-88677</v>
      </c>
      <c r="K410" s="25">
        <f t="shared" si="697"/>
        <v>164891</v>
      </c>
      <c r="L410" s="25">
        <f t="shared" si="694"/>
        <v>327379.24449388171</v>
      </c>
      <c r="M410" s="25"/>
      <c r="N410" s="25"/>
      <c r="O410" s="25"/>
      <c r="P410" s="25">
        <f t="shared" si="698"/>
        <v>492158.32341085264</v>
      </c>
      <c r="Q410" s="25">
        <f t="shared" si="699"/>
        <v>-282851.09860465111</v>
      </c>
      <c r="R410" s="25">
        <f t="shared" si="695"/>
        <v>714883.95550163696</v>
      </c>
      <c r="S410" s="95">
        <f t="shared" si="700"/>
        <v>-60125.466513870168</v>
      </c>
      <c r="T410" s="25">
        <f t="shared" si="701"/>
        <v>1418522.2143234741</v>
      </c>
      <c r="U410" s="25">
        <f t="shared" si="702"/>
        <v>776443.85114146117</v>
      </c>
      <c r="Y410" s="25"/>
    </row>
    <row r="411" spans="4:25">
      <c r="D411" s="48">
        <f t="shared" si="703"/>
        <v>69677.649999999994</v>
      </c>
      <c r="I411" s="231">
        <v>37224</v>
      </c>
      <c r="J411" s="141">
        <f t="shared" si="696"/>
        <v>-77594</v>
      </c>
      <c r="K411" s="25">
        <f t="shared" si="697"/>
        <v>11083</v>
      </c>
      <c r="L411" s="25">
        <f t="shared" si="694"/>
        <v>330246.72858731885</v>
      </c>
      <c r="M411" s="25"/>
      <c r="N411" s="25"/>
      <c r="O411" s="25"/>
      <c r="P411" s="25">
        <f t="shared" si="698"/>
        <v>492158.32341085264</v>
      </c>
      <c r="Q411" s="25">
        <f t="shared" si="699"/>
        <v>-282851.09860465111</v>
      </c>
      <c r="R411" s="25">
        <f t="shared" si="695"/>
        <v>717751.43959507416</v>
      </c>
      <c r="S411" s="95">
        <f t="shared" si="700"/>
        <v>-57257.982420433022</v>
      </c>
      <c r="T411" s="25">
        <f t="shared" si="701"/>
        <v>1418522.2143234741</v>
      </c>
      <c r="U411" s="25">
        <f t="shared" si="702"/>
        <v>776443.85114146117</v>
      </c>
      <c r="Y411" s="25"/>
    </row>
    <row r="412" spans="4:25">
      <c r="D412" s="48">
        <f t="shared" si="703"/>
        <v>67212.05</v>
      </c>
      <c r="I412" s="668">
        <v>37254</v>
      </c>
      <c r="J412" s="141">
        <f t="shared" si="696"/>
        <v>-121470</v>
      </c>
      <c r="K412" s="25">
        <f t="shared" si="697"/>
        <v>43876</v>
      </c>
      <c r="L412" s="25">
        <f t="shared" si="694"/>
        <v>333114.212680756</v>
      </c>
      <c r="M412" s="25"/>
      <c r="N412" s="25"/>
      <c r="O412" s="25"/>
      <c r="P412" s="25">
        <f t="shared" si="698"/>
        <v>492158.32341085264</v>
      </c>
      <c r="Q412" s="25">
        <f t="shared" si="699"/>
        <v>-282851.09860465111</v>
      </c>
      <c r="R412" s="25">
        <f t="shared" si="695"/>
        <v>720618.92368851136</v>
      </c>
      <c r="S412" s="95">
        <f t="shared" si="700"/>
        <v>-54390.498326995876</v>
      </c>
      <c r="T412" s="25">
        <f t="shared" si="701"/>
        <v>1418522.2143234741</v>
      </c>
      <c r="U412" s="25">
        <f t="shared" si="702"/>
        <v>776443.85114146117</v>
      </c>
      <c r="Y412" s="25"/>
    </row>
    <row r="413" spans="4:25">
      <c r="D413" s="48">
        <f t="shared" si="703"/>
        <v>64981.23333333333</v>
      </c>
      <c r="I413" s="676">
        <v>37285</v>
      </c>
      <c r="J413" s="141">
        <f t="shared" si="696"/>
        <v>-69772</v>
      </c>
      <c r="K413" s="25">
        <f t="shared" si="697"/>
        <v>51698</v>
      </c>
      <c r="L413" s="25">
        <f t="shared" si="694"/>
        <v>335981.69677419314</v>
      </c>
      <c r="M413" s="25"/>
      <c r="N413" s="25"/>
      <c r="O413" s="25"/>
      <c r="P413" s="25">
        <f t="shared" si="698"/>
        <v>492158.32341085264</v>
      </c>
      <c r="Q413" s="25">
        <f t="shared" si="699"/>
        <v>-282851.09860465111</v>
      </c>
      <c r="R413" s="25">
        <f t="shared" si="695"/>
        <v>723486.40778194857</v>
      </c>
      <c r="S413" s="95">
        <f t="shared" si="700"/>
        <v>-51523.01423355873</v>
      </c>
      <c r="T413" s="25">
        <f t="shared" si="701"/>
        <v>1418522.2143234741</v>
      </c>
      <c r="U413" s="25">
        <f t="shared" si="702"/>
        <v>776443.85114146117</v>
      </c>
      <c r="Y413" s="25"/>
    </row>
    <row r="414" spans="4:25">
      <c r="D414" s="48">
        <f t="shared" si="703"/>
        <v>61700.566666666666</v>
      </c>
      <c r="I414" s="231">
        <v>37314</v>
      </c>
      <c r="J414" s="141">
        <f t="shared" si="696"/>
        <v>79586</v>
      </c>
      <c r="K414" s="25">
        <f t="shared" si="697"/>
        <v>149358</v>
      </c>
      <c r="L414" s="25">
        <f t="shared" si="694"/>
        <v>338849.18086763029</v>
      </c>
      <c r="M414" s="25"/>
      <c r="N414" s="25"/>
      <c r="O414" s="25"/>
      <c r="P414" s="25">
        <f t="shared" si="698"/>
        <v>492158.32341085264</v>
      </c>
      <c r="Q414" s="25">
        <f t="shared" si="699"/>
        <v>-282851.09860465111</v>
      </c>
      <c r="R414" s="25">
        <f t="shared" si="695"/>
        <v>726353.89187538577</v>
      </c>
      <c r="S414" s="95">
        <f t="shared" si="700"/>
        <v>-48655.530140121584</v>
      </c>
      <c r="T414" s="25">
        <f t="shared" si="701"/>
        <v>1418522.2143234741</v>
      </c>
      <c r="U414" s="25">
        <f t="shared" si="702"/>
        <v>776443.85114146117</v>
      </c>
      <c r="Y414" s="25"/>
    </row>
    <row r="415" spans="4:25">
      <c r="D415" s="48">
        <f t="shared" si="703"/>
        <v>57445.116666666669</v>
      </c>
      <c r="I415" s="231">
        <v>37342</v>
      </c>
      <c r="J415" s="141">
        <f t="shared" si="696"/>
        <v>-1121</v>
      </c>
      <c r="K415" s="25">
        <f t="shared" si="697"/>
        <v>80707</v>
      </c>
      <c r="L415" s="25">
        <f t="shared" si="694"/>
        <v>341716.66496106744</v>
      </c>
      <c r="M415" s="25"/>
      <c r="N415" s="25"/>
      <c r="O415" s="25"/>
      <c r="P415" s="25">
        <f t="shared" si="698"/>
        <v>492158.32341085264</v>
      </c>
      <c r="Q415" s="25">
        <f t="shared" si="699"/>
        <v>-282851.09860465111</v>
      </c>
      <c r="R415" s="25">
        <f t="shared" si="695"/>
        <v>729221.37596882298</v>
      </c>
      <c r="S415" s="95">
        <f t="shared" si="700"/>
        <v>-45788.046046684438</v>
      </c>
      <c r="T415" s="25">
        <f t="shared" si="701"/>
        <v>1418522.2143234741</v>
      </c>
      <c r="U415" s="25">
        <f t="shared" si="702"/>
        <v>776443.85114146117</v>
      </c>
      <c r="Y415" s="25"/>
    </row>
    <row r="416" spans="4:25">
      <c r="D416" s="48">
        <f t="shared" si="703"/>
        <v>50604.283333333333</v>
      </c>
      <c r="I416" s="231">
        <v>37373</v>
      </c>
      <c r="J416" s="141">
        <f t="shared" si="696"/>
        <v>9885</v>
      </c>
      <c r="K416" s="25">
        <f t="shared" si="697"/>
        <v>11006</v>
      </c>
      <c r="L416" s="25">
        <f t="shared" si="694"/>
        <v>344584.14905450458</v>
      </c>
      <c r="M416" s="25"/>
      <c r="N416" s="25"/>
      <c r="O416" s="25"/>
      <c r="P416" s="25">
        <f t="shared" si="698"/>
        <v>492158.32341085264</v>
      </c>
      <c r="Q416" s="25">
        <f t="shared" si="699"/>
        <v>-282851.09860465111</v>
      </c>
      <c r="R416" s="25">
        <f t="shared" si="695"/>
        <v>732088.86006226018</v>
      </c>
      <c r="S416" s="95">
        <f t="shared" si="700"/>
        <v>-42920.561953247292</v>
      </c>
      <c r="T416" s="25">
        <f t="shared" si="701"/>
        <v>1418522.2143234741</v>
      </c>
      <c r="U416" s="25">
        <f t="shared" si="702"/>
        <v>776443.85114146117</v>
      </c>
      <c r="Y416" s="25"/>
    </row>
    <row r="417" spans="4:25">
      <c r="D417" s="48">
        <f t="shared" si="703"/>
        <v>47501.166666666664</v>
      </c>
      <c r="I417" s="231">
        <v>37403</v>
      </c>
      <c r="J417" s="141">
        <f t="shared" si="696"/>
        <v>217715</v>
      </c>
      <c r="K417" s="25">
        <f t="shared" si="697"/>
        <v>207830</v>
      </c>
      <c r="L417" s="25">
        <f t="shared" si="694"/>
        <v>347451.63314794173</v>
      </c>
      <c r="M417" s="25"/>
      <c r="N417" s="25"/>
      <c r="O417" s="25"/>
      <c r="P417" s="25">
        <f t="shared" si="698"/>
        <v>492158.32341085264</v>
      </c>
      <c r="Q417" s="25">
        <f t="shared" si="699"/>
        <v>-282851.09860465111</v>
      </c>
      <c r="R417" s="25">
        <f t="shared" si="695"/>
        <v>734956.34415569738</v>
      </c>
      <c r="S417" s="95">
        <f t="shared" si="700"/>
        <v>-40053.077859810146</v>
      </c>
      <c r="T417" s="25">
        <f t="shared" si="701"/>
        <v>1418522.2143234741</v>
      </c>
      <c r="U417" s="25">
        <f t="shared" si="702"/>
        <v>776443.85114146117</v>
      </c>
      <c r="Y417" s="25"/>
    </row>
    <row r="418" spans="4:25">
      <c r="D418" s="48">
        <f t="shared" si="703"/>
        <v>40122.550000000003</v>
      </c>
      <c r="I418" s="231">
        <v>37434</v>
      </c>
      <c r="J418" s="141">
        <f t="shared" si="696"/>
        <v>-26244</v>
      </c>
      <c r="K418" s="25">
        <f t="shared" si="697"/>
        <v>243959</v>
      </c>
      <c r="L418" s="25">
        <f t="shared" ref="L418:L449" si="704">L417+$C$491</f>
        <v>350319.11724137887</v>
      </c>
      <c r="M418" s="25"/>
      <c r="N418" s="25"/>
      <c r="O418" s="25"/>
      <c r="P418" s="25">
        <f t="shared" si="698"/>
        <v>492158.32341085264</v>
      </c>
      <c r="Q418" s="25">
        <f t="shared" si="699"/>
        <v>-282851.09860465111</v>
      </c>
      <c r="R418" s="25">
        <f t="shared" ref="R418:R449" si="705">R417+$C$491</f>
        <v>737823.82824913459</v>
      </c>
      <c r="S418" s="95">
        <f t="shared" si="700"/>
        <v>-37185.593766373</v>
      </c>
      <c r="T418" s="25">
        <f t="shared" si="701"/>
        <v>1418522.2143234741</v>
      </c>
      <c r="U418" s="25">
        <f t="shared" si="702"/>
        <v>776443.85114146117</v>
      </c>
      <c r="Y418" s="25"/>
    </row>
    <row r="419" spans="4:25">
      <c r="D419" s="48">
        <f t="shared" si="703"/>
        <v>37877.25</v>
      </c>
      <c r="I419" s="231">
        <v>37464</v>
      </c>
      <c r="J419" s="141">
        <f t="shared" si="696"/>
        <v>-110288</v>
      </c>
      <c r="K419" s="25">
        <f t="shared" si="697"/>
        <v>84044</v>
      </c>
      <c r="L419" s="25">
        <f t="shared" si="704"/>
        <v>353186.60133481602</v>
      </c>
      <c r="M419" s="25"/>
      <c r="N419" s="25"/>
      <c r="O419" s="25"/>
      <c r="P419" s="25">
        <f t="shared" si="698"/>
        <v>492158.32341085264</v>
      </c>
      <c r="Q419" s="25">
        <f t="shared" si="699"/>
        <v>-282851.09860465111</v>
      </c>
      <c r="R419" s="25">
        <f t="shared" si="705"/>
        <v>740691.31234257179</v>
      </c>
      <c r="S419" s="95">
        <f t="shared" si="700"/>
        <v>-34318.109672935854</v>
      </c>
      <c r="T419" s="25">
        <f t="shared" si="701"/>
        <v>1418522.2143234741</v>
      </c>
      <c r="U419" s="25">
        <f t="shared" si="702"/>
        <v>776443.85114146117</v>
      </c>
      <c r="Y419" s="25"/>
    </row>
    <row r="420" spans="4:25">
      <c r="D420" s="48">
        <f t="shared" si="703"/>
        <v>32913.25</v>
      </c>
      <c r="I420" s="231">
        <v>37495</v>
      </c>
      <c r="J420" s="141">
        <f t="shared" si="696"/>
        <v>-102358</v>
      </c>
      <c r="K420" s="25">
        <f t="shared" si="697"/>
        <v>7930</v>
      </c>
      <c r="L420" s="25">
        <f t="shared" si="704"/>
        <v>356054.08542825317</v>
      </c>
      <c r="M420" s="25"/>
      <c r="N420" s="25"/>
      <c r="O420" s="25"/>
      <c r="P420" s="25">
        <f t="shared" si="698"/>
        <v>492158.32341085264</v>
      </c>
      <c r="Q420" s="25">
        <f t="shared" si="699"/>
        <v>-282851.09860465111</v>
      </c>
      <c r="R420" s="25">
        <f t="shared" si="705"/>
        <v>743558.796436009</v>
      </c>
      <c r="S420" s="95">
        <f t="shared" si="700"/>
        <v>-31450.625579498708</v>
      </c>
      <c r="T420" s="25">
        <f t="shared" si="701"/>
        <v>1418522.2143234741</v>
      </c>
      <c r="U420" s="25">
        <f t="shared" si="702"/>
        <v>776443.85114146117</v>
      </c>
      <c r="Y420" s="25"/>
    </row>
    <row r="421" spans="4:25">
      <c r="D421" s="48">
        <f t="shared" si="703"/>
        <v>30307.1</v>
      </c>
      <c r="I421" s="231">
        <v>37526</v>
      </c>
      <c r="J421" s="141">
        <f t="shared" si="696"/>
        <v>-40948</v>
      </c>
      <c r="K421" s="25">
        <f t="shared" si="697"/>
        <v>61410</v>
      </c>
      <c r="L421" s="25">
        <f t="shared" si="704"/>
        <v>358921.56952169031</v>
      </c>
      <c r="M421" s="25"/>
      <c r="N421" s="25"/>
      <c r="O421" s="25"/>
      <c r="P421" s="25">
        <f t="shared" si="698"/>
        <v>492158.32341085264</v>
      </c>
      <c r="Q421" s="25">
        <f t="shared" si="699"/>
        <v>-282851.09860465111</v>
      </c>
      <c r="R421" s="25">
        <f t="shared" si="705"/>
        <v>746426.2805294462</v>
      </c>
      <c r="S421" s="95">
        <f t="shared" si="700"/>
        <v>-28583.141486061562</v>
      </c>
      <c r="T421" s="25">
        <f t="shared" si="701"/>
        <v>1418522.2143234741</v>
      </c>
      <c r="U421" s="25">
        <f t="shared" si="702"/>
        <v>776443.85114146117</v>
      </c>
      <c r="Y421" s="25"/>
    </row>
    <row r="422" spans="4:25">
      <c r="D422" s="48">
        <f t="shared" si="703"/>
        <v>22083.833333333332</v>
      </c>
      <c r="I422" s="231">
        <v>37556</v>
      </c>
      <c r="J422" s="141">
        <f t="shared" ref="J422:J453" si="706">C228</f>
        <v>102350</v>
      </c>
      <c r="K422" s="25">
        <f t="shared" ref="K422:K453" si="707">L228</f>
        <v>143298</v>
      </c>
      <c r="L422" s="25">
        <f t="shared" si="704"/>
        <v>361789.05361512746</v>
      </c>
      <c r="M422" s="25"/>
      <c r="N422" s="25"/>
      <c r="O422" s="25"/>
      <c r="P422" s="25">
        <f t="shared" ref="P422:P453" si="708">$A$491+1.88*$B$491</f>
        <v>492158.32341085264</v>
      </c>
      <c r="Q422" s="25">
        <f t="shared" ref="Q422:Q453" si="709">$A$491-1.88*$B$491</f>
        <v>-282851.09860465111</v>
      </c>
      <c r="R422" s="25">
        <f t="shared" si="705"/>
        <v>749293.76462288341</v>
      </c>
      <c r="S422" s="95">
        <f t="shared" ref="S422:S453" si="710">L422-$B$491*1.88</f>
        <v>-25715.657392624416</v>
      </c>
      <c r="T422" s="25">
        <f t="shared" si="701"/>
        <v>1418522.2143234741</v>
      </c>
      <c r="U422" s="25">
        <f t="shared" si="702"/>
        <v>776443.85114146117</v>
      </c>
      <c r="Y422" s="25"/>
    </row>
    <row r="423" spans="4:25">
      <c r="D423" s="48">
        <f t="shared" si="703"/>
        <v>25014.95</v>
      </c>
      <c r="I423" s="231">
        <v>37587</v>
      </c>
      <c r="J423" s="141">
        <f t="shared" si="706"/>
        <v>228778</v>
      </c>
      <c r="K423" s="25">
        <f t="shared" si="707"/>
        <v>126428</v>
      </c>
      <c r="L423" s="25">
        <f t="shared" si="704"/>
        <v>364656.5377085646</v>
      </c>
      <c r="M423" s="25"/>
      <c r="N423" s="25"/>
      <c r="O423" s="25"/>
      <c r="P423" s="25">
        <f t="shared" si="708"/>
        <v>492158.32341085264</v>
      </c>
      <c r="Q423" s="25">
        <f t="shared" si="709"/>
        <v>-282851.09860465111</v>
      </c>
      <c r="R423" s="25">
        <f t="shared" si="705"/>
        <v>752161.24871632061</v>
      </c>
      <c r="S423" s="95">
        <f t="shared" si="710"/>
        <v>-22848.17329918727</v>
      </c>
      <c r="T423" s="25">
        <f t="shared" si="701"/>
        <v>1418522.2143234741</v>
      </c>
      <c r="U423" s="25">
        <f t="shared" si="702"/>
        <v>776443.85114146117</v>
      </c>
      <c r="Y423" s="25"/>
    </row>
    <row r="424" spans="4:25">
      <c r="D424" s="48">
        <f t="shared" si="703"/>
        <v>24490.166666666668</v>
      </c>
      <c r="I424" s="668">
        <v>37617</v>
      </c>
      <c r="J424" s="141">
        <f t="shared" si="706"/>
        <v>-211179</v>
      </c>
      <c r="K424" s="25">
        <f t="shared" si="707"/>
        <v>439957</v>
      </c>
      <c r="L424" s="25">
        <f t="shared" si="704"/>
        <v>367524.02180200175</v>
      </c>
      <c r="M424" s="25"/>
      <c r="N424" s="25"/>
      <c r="O424" s="25"/>
      <c r="P424" s="25">
        <f t="shared" si="708"/>
        <v>492158.32341085264</v>
      </c>
      <c r="Q424" s="25">
        <f t="shared" si="709"/>
        <v>-282851.09860465111</v>
      </c>
      <c r="R424" s="25">
        <f t="shared" si="705"/>
        <v>755028.73280975781</v>
      </c>
      <c r="S424" s="95">
        <f t="shared" si="710"/>
        <v>-19980.689205750125</v>
      </c>
      <c r="T424" s="25">
        <f t="shared" si="701"/>
        <v>1418522.2143234741</v>
      </c>
      <c r="U424" s="25">
        <f t="shared" si="702"/>
        <v>776443.85114146117</v>
      </c>
      <c r="Y424" s="25"/>
    </row>
    <row r="425" spans="4:25">
      <c r="D425" s="48">
        <f t="shared" si="703"/>
        <v>21855.816666666666</v>
      </c>
      <c r="I425" s="231">
        <v>37648</v>
      </c>
      <c r="J425" s="141">
        <f t="shared" si="706"/>
        <v>-227970</v>
      </c>
      <c r="K425" s="25">
        <f t="shared" si="707"/>
        <v>16791</v>
      </c>
      <c r="L425" s="25">
        <f t="shared" si="704"/>
        <v>370391.5058954389</v>
      </c>
      <c r="M425" s="25"/>
      <c r="N425" s="25"/>
      <c r="O425" s="25"/>
      <c r="P425" s="25">
        <f t="shared" si="708"/>
        <v>492158.32341085264</v>
      </c>
      <c r="Q425" s="25">
        <f t="shared" si="709"/>
        <v>-282851.09860465111</v>
      </c>
      <c r="R425" s="25">
        <f t="shared" si="705"/>
        <v>757896.21690319502</v>
      </c>
      <c r="S425" s="95">
        <f t="shared" si="710"/>
        <v>-17113.205112312979</v>
      </c>
      <c r="T425" s="25">
        <f t="shared" si="701"/>
        <v>1418522.2143234741</v>
      </c>
      <c r="U425" s="25">
        <f t="shared" si="702"/>
        <v>776443.85114146117</v>
      </c>
      <c r="Y425" s="25"/>
    </row>
    <row r="426" spans="4:25">
      <c r="D426" s="48">
        <f t="shared" si="703"/>
        <v>16838.066666666666</v>
      </c>
      <c r="I426" s="231">
        <v>37679</v>
      </c>
      <c r="J426" s="141">
        <f t="shared" si="706"/>
        <v>-268790</v>
      </c>
      <c r="K426" s="25">
        <f t="shared" si="707"/>
        <v>40820</v>
      </c>
      <c r="L426" s="25">
        <f t="shared" si="704"/>
        <v>373258.98998887604</v>
      </c>
      <c r="M426" s="25"/>
      <c r="N426" s="25"/>
      <c r="O426" s="25"/>
      <c r="P426" s="25">
        <f t="shared" si="708"/>
        <v>492158.32341085264</v>
      </c>
      <c r="Q426" s="25">
        <f t="shared" si="709"/>
        <v>-282851.09860465111</v>
      </c>
      <c r="R426" s="25">
        <f t="shared" si="705"/>
        <v>760763.70099663222</v>
      </c>
      <c r="S426" s="95">
        <f t="shared" si="710"/>
        <v>-14245.721018875833</v>
      </c>
      <c r="T426" s="25">
        <f t="shared" si="701"/>
        <v>1418522.2143234741</v>
      </c>
      <c r="U426" s="25">
        <f t="shared" si="702"/>
        <v>776443.85114146117</v>
      </c>
      <c r="Y426" s="25"/>
    </row>
    <row r="427" spans="4:25">
      <c r="D427" s="48">
        <f t="shared" si="703"/>
        <v>8555.5833333333339</v>
      </c>
      <c r="I427" s="231">
        <v>37707</v>
      </c>
      <c r="J427" s="141">
        <f t="shared" si="706"/>
        <v>26287</v>
      </c>
      <c r="K427" s="25">
        <f t="shared" si="707"/>
        <v>295077</v>
      </c>
      <c r="L427" s="25">
        <f t="shared" si="704"/>
        <v>376126.47408231319</v>
      </c>
      <c r="M427" s="25"/>
      <c r="N427" s="25"/>
      <c r="O427" s="25"/>
      <c r="P427" s="25">
        <f t="shared" si="708"/>
        <v>492158.32341085264</v>
      </c>
      <c r="Q427" s="25">
        <f t="shared" si="709"/>
        <v>-282851.09860465111</v>
      </c>
      <c r="R427" s="25">
        <f t="shared" si="705"/>
        <v>763631.18509006943</v>
      </c>
      <c r="S427" s="95">
        <f t="shared" si="710"/>
        <v>-11378.236925438687</v>
      </c>
      <c r="T427" s="25">
        <f t="shared" si="701"/>
        <v>1418522.2143234741</v>
      </c>
      <c r="U427" s="25">
        <f t="shared" si="702"/>
        <v>776443.85114146117</v>
      </c>
      <c r="Y427" s="25"/>
    </row>
    <row r="428" spans="4:25">
      <c r="D428" s="48">
        <f t="shared" si="703"/>
        <v>11183.15</v>
      </c>
      <c r="I428" s="231">
        <v>37738</v>
      </c>
      <c r="J428" s="141">
        <f t="shared" si="706"/>
        <v>174418</v>
      </c>
      <c r="K428" s="25">
        <f t="shared" si="707"/>
        <v>148131</v>
      </c>
      <c r="L428" s="25">
        <f t="shared" si="704"/>
        <v>378993.95817575033</v>
      </c>
      <c r="M428" s="25"/>
      <c r="N428" s="25"/>
      <c r="O428" s="25"/>
      <c r="P428" s="25">
        <f t="shared" si="708"/>
        <v>492158.32341085264</v>
      </c>
      <c r="Q428" s="25">
        <f t="shared" si="709"/>
        <v>-282851.09860465111</v>
      </c>
      <c r="R428" s="25">
        <f t="shared" si="705"/>
        <v>766498.66918350663</v>
      </c>
      <c r="S428" s="95">
        <f t="shared" si="710"/>
        <v>-8510.7528320015408</v>
      </c>
      <c r="T428" s="25">
        <f t="shared" si="701"/>
        <v>1418522.2143234741</v>
      </c>
      <c r="U428" s="25">
        <f t="shared" si="702"/>
        <v>776443.85114146117</v>
      </c>
      <c r="Y428" s="25"/>
    </row>
    <row r="429" spans="4:25">
      <c r="D429" s="48">
        <f t="shared" si="703"/>
        <v>6369.9</v>
      </c>
      <c r="I429" s="231">
        <v>37768</v>
      </c>
      <c r="J429" s="141">
        <f t="shared" si="706"/>
        <v>119169</v>
      </c>
      <c r="K429" s="25">
        <f t="shared" si="707"/>
        <v>55249</v>
      </c>
      <c r="L429" s="25">
        <f t="shared" si="704"/>
        <v>381861.44226918748</v>
      </c>
      <c r="M429" s="25"/>
      <c r="N429" s="25"/>
      <c r="O429" s="25"/>
      <c r="P429" s="25">
        <f t="shared" si="708"/>
        <v>492158.32341085264</v>
      </c>
      <c r="Q429" s="25">
        <f t="shared" si="709"/>
        <v>-282851.09860465111</v>
      </c>
      <c r="R429" s="25">
        <f t="shared" si="705"/>
        <v>769366.15327694383</v>
      </c>
      <c r="S429" s="95">
        <f t="shared" si="710"/>
        <v>-5643.2687385643949</v>
      </c>
      <c r="T429" s="25">
        <f t="shared" si="701"/>
        <v>1418522.2143234741</v>
      </c>
      <c r="U429" s="25">
        <f t="shared" si="702"/>
        <v>776443.85114146117</v>
      </c>
      <c r="Y429" s="25"/>
    </row>
    <row r="430" spans="4:25">
      <c r="D430" s="48">
        <f t="shared" si="703"/>
        <v>17767.650000000001</v>
      </c>
      <c r="I430" s="231">
        <v>37799</v>
      </c>
      <c r="J430" s="141">
        <f t="shared" si="706"/>
        <v>748705</v>
      </c>
      <c r="K430" s="25">
        <f t="shared" si="707"/>
        <v>629536</v>
      </c>
      <c r="L430" s="25">
        <f t="shared" si="704"/>
        <v>384728.92636262462</v>
      </c>
      <c r="M430" s="25"/>
      <c r="N430" s="25"/>
      <c r="O430" s="25"/>
      <c r="P430" s="25">
        <f t="shared" si="708"/>
        <v>492158.32341085264</v>
      </c>
      <c r="Q430" s="25">
        <f t="shared" si="709"/>
        <v>-282851.09860465111</v>
      </c>
      <c r="R430" s="25">
        <f t="shared" si="705"/>
        <v>772233.63737038104</v>
      </c>
      <c r="S430" s="95">
        <f t="shared" si="710"/>
        <v>-2775.784645127249</v>
      </c>
      <c r="T430" s="25">
        <f t="shared" si="701"/>
        <v>1418522.2143234741</v>
      </c>
      <c r="U430" s="25">
        <f t="shared" si="702"/>
        <v>776443.85114146117</v>
      </c>
      <c r="Y430" s="25"/>
    </row>
    <row r="431" spans="4:25">
      <c r="D431" s="48">
        <f t="shared" si="703"/>
        <v>25506.6</v>
      </c>
      <c r="I431" s="231">
        <v>37829</v>
      </c>
      <c r="J431" s="141">
        <f t="shared" si="706"/>
        <v>230657</v>
      </c>
      <c r="K431" s="25">
        <f t="shared" si="707"/>
        <v>518048</v>
      </c>
      <c r="L431" s="25">
        <f t="shared" si="704"/>
        <v>387596.41045606177</v>
      </c>
      <c r="M431" s="25"/>
      <c r="N431" s="25"/>
      <c r="O431" s="25"/>
      <c r="P431" s="25">
        <f t="shared" si="708"/>
        <v>492158.32341085264</v>
      </c>
      <c r="Q431" s="25">
        <f t="shared" si="709"/>
        <v>-282851.09860465111</v>
      </c>
      <c r="R431" s="25">
        <f t="shared" si="705"/>
        <v>775101.12146381824</v>
      </c>
      <c r="S431" s="95">
        <f t="shared" si="710"/>
        <v>91.699448309896979</v>
      </c>
      <c r="T431" s="25">
        <f t="shared" si="701"/>
        <v>1418522.2143234741</v>
      </c>
      <c r="U431" s="25">
        <f t="shared" si="702"/>
        <v>776443.85114146117</v>
      </c>
      <c r="Y431" s="25"/>
    </row>
    <row r="432" spans="4:25">
      <c r="D432" s="48">
        <f t="shared" si="703"/>
        <v>31619.966666666667</v>
      </c>
      <c r="I432" s="231">
        <v>37860</v>
      </c>
      <c r="J432" s="141">
        <f t="shared" si="706"/>
        <v>114891</v>
      </c>
      <c r="K432" s="25">
        <f t="shared" si="707"/>
        <v>115766</v>
      </c>
      <c r="L432" s="25">
        <f t="shared" si="704"/>
        <v>390463.89454949892</v>
      </c>
      <c r="M432" s="25"/>
      <c r="N432" s="25"/>
      <c r="O432" s="25"/>
      <c r="P432" s="25">
        <f t="shared" si="708"/>
        <v>492158.32341085264</v>
      </c>
      <c r="Q432" s="25">
        <f t="shared" si="709"/>
        <v>-282851.09860465111</v>
      </c>
      <c r="R432" s="25">
        <f t="shared" si="705"/>
        <v>777968.60555725545</v>
      </c>
      <c r="S432" s="95">
        <f t="shared" si="710"/>
        <v>2959.1835417470429</v>
      </c>
      <c r="T432" s="25">
        <f t="shared" si="701"/>
        <v>1418522.2143234741</v>
      </c>
      <c r="U432" s="25">
        <f t="shared" si="702"/>
        <v>776443.85114146117</v>
      </c>
      <c r="Y432" s="25"/>
    </row>
    <row r="433" spans="4:25">
      <c r="D433" s="48">
        <f t="shared" si="703"/>
        <v>34368.01666666667</v>
      </c>
      <c r="I433" s="231">
        <v>37891</v>
      </c>
      <c r="J433" s="141">
        <f t="shared" si="706"/>
        <v>170534</v>
      </c>
      <c r="K433" s="25">
        <f t="shared" si="707"/>
        <v>55643</v>
      </c>
      <c r="L433" s="25">
        <f t="shared" si="704"/>
        <v>393331.37864293606</v>
      </c>
      <c r="M433" s="25"/>
      <c r="N433" s="25"/>
      <c r="O433" s="25"/>
      <c r="P433" s="25">
        <f t="shared" si="708"/>
        <v>492158.32341085264</v>
      </c>
      <c r="Q433" s="25">
        <f t="shared" si="709"/>
        <v>-282851.09860465111</v>
      </c>
      <c r="R433" s="25">
        <f t="shared" si="705"/>
        <v>780836.08965069265</v>
      </c>
      <c r="S433" s="95">
        <f t="shared" si="710"/>
        <v>5826.6676351841888</v>
      </c>
      <c r="T433" s="25">
        <f t="shared" si="701"/>
        <v>1418522.2143234741</v>
      </c>
      <c r="U433" s="25">
        <f t="shared" si="702"/>
        <v>776443.85114146117</v>
      </c>
      <c r="Y433" s="25"/>
    </row>
    <row r="434" spans="4:25">
      <c r="D434" s="48">
        <f t="shared" si="703"/>
        <v>41250.583333333336</v>
      </c>
      <c r="I434" s="231">
        <v>37921</v>
      </c>
      <c r="J434" s="141">
        <f t="shared" si="706"/>
        <v>350656</v>
      </c>
      <c r="K434" s="25">
        <f t="shared" si="707"/>
        <v>180122</v>
      </c>
      <c r="L434" s="25">
        <f t="shared" si="704"/>
        <v>396198.86273637321</v>
      </c>
      <c r="M434" s="25"/>
      <c r="N434" s="25"/>
      <c r="O434" s="25"/>
      <c r="P434" s="25">
        <f t="shared" si="708"/>
        <v>492158.32341085264</v>
      </c>
      <c r="Q434" s="25">
        <f t="shared" si="709"/>
        <v>-282851.09860465111</v>
      </c>
      <c r="R434" s="25">
        <f t="shared" si="705"/>
        <v>783703.57374412986</v>
      </c>
      <c r="S434" s="95">
        <f t="shared" si="710"/>
        <v>8694.1517286213348</v>
      </c>
      <c r="T434" s="25">
        <f t="shared" si="701"/>
        <v>1418522.2143234741</v>
      </c>
      <c r="U434" s="25">
        <f t="shared" si="702"/>
        <v>776443.85114146117</v>
      </c>
      <c r="Y434" s="25"/>
    </row>
    <row r="435" spans="4:25">
      <c r="D435" s="48">
        <f t="shared" si="703"/>
        <v>39966.566666666666</v>
      </c>
      <c r="I435" s="231">
        <v>37952</v>
      </c>
      <c r="J435" s="141">
        <f t="shared" si="706"/>
        <v>90307</v>
      </c>
      <c r="K435" s="25">
        <f t="shared" si="707"/>
        <v>260349</v>
      </c>
      <c r="L435" s="25">
        <f t="shared" si="704"/>
        <v>399066.34682981035</v>
      </c>
      <c r="M435" s="25"/>
      <c r="N435" s="25"/>
      <c r="O435" s="25"/>
      <c r="P435" s="25">
        <f t="shared" si="708"/>
        <v>492158.32341085264</v>
      </c>
      <c r="Q435" s="25">
        <f t="shared" si="709"/>
        <v>-282851.09860465111</v>
      </c>
      <c r="R435" s="25">
        <f t="shared" si="705"/>
        <v>786571.05783756706</v>
      </c>
      <c r="S435" s="95">
        <f t="shared" si="710"/>
        <v>11561.635822058481</v>
      </c>
      <c r="T435" s="25">
        <f t="shared" si="701"/>
        <v>1418522.2143234741</v>
      </c>
      <c r="U435" s="25">
        <f t="shared" si="702"/>
        <v>776443.85114146117</v>
      </c>
      <c r="Y435" s="25"/>
    </row>
    <row r="436" spans="4:25">
      <c r="D436" s="48">
        <f t="shared" si="703"/>
        <v>40209.666666666664</v>
      </c>
      <c r="I436" s="668">
        <v>37982</v>
      </c>
      <c r="J436" s="141">
        <f t="shared" si="706"/>
        <v>-57392</v>
      </c>
      <c r="K436" s="25">
        <f t="shared" si="707"/>
        <v>147699</v>
      </c>
      <c r="L436" s="25">
        <f t="shared" si="704"/>
        <v>401933.8309232475</v>
      </c>
      <c r="M436" s="25"/>
      <c r="N436" s="25"/>
      <c r="O436" s="25"/>
      <c r="P436" s="25">
        <f t="shared" si="708"/>
        <v>492158.32341085264</v>
      </c>
      <c r="Q436" s="25">
        <f t="shared" si="709"/>
        <v>-282851.09860465111</v>
      </c>
      <c r="R436" s="25">
        <f t="shared" si="705"/>
        <v>789438.54193100426</v>
      </c>
      <c r="S436" s="95">
        <f t="shared" si="710"/>
        <v>14429.119915495627</v>
      </c>
      <c r="T436" s="25">
        <f t="shared" si="701"/>
        <v>1418522.2143234741</v>
      </c>
      <c r="U436" s="25">
        <f t="shared" si="702"/>
        <v>776443.85114146117</v>
      </c>
      <c r="Y436" s="25"/>
    </row>
    <row r="437" spans="4:25">
      <c r="D437" s="48">
        <f t="shared" si="703"/>
        <v>44540.883333333331</v>
      </c>
      <c r="I437" s="231">
        <v>38013</v>
      </c>
      <c r="J437" s="141">
        <f t="shared" si="706"/>
        <v>82653</v>
      </c>
      <c r="K437" s="25">
        <f t="shared" si="707"/>
        <v>140045</v>
      </c>
      <c r="L437" s="25">
        <f t="shared" si="704"/>
        <v>404801.31501668465</v>
      </c>
      <c r="M437" s="25"/>
      <c r="N437" s="25"/>
      <c r="O437" s="25"/>
      <c r="P437" s="25">
        <f t="shared" si="708"/>
        <v>492158.32341085264</v>
      </c>
      <c r="Q437" s="25">
        <f t="shared" si="709"/>
        <v>-282851.09860465111</v>
      </c>
      <c r="R437" s="25">
        <f t="shared" si="705"/>
        <v>792306.02602444147</v>
      </c>
      <c r="S437" s="95">
        <f t="shared" si="710"/>
        <v>17296.604008932773</v>
      </c>
      <c r="T437" s="25">
        <f t="shared" si="701"/>
        <v>1418522.2143234741</v>
      </c>
      <c r="U437" s="25">
        <f t="shared" si="702"/>
        <v>776443.85114146117</v>
      </c>
      <c r="Y437" s="25"/>
    </row>
    <row r="438" spans="4:25">
      <c r="D438" s="48">
        <f t="shared" si="703"/>
        <v>46740.033333333333</v>
      </c>
      <c r="I438" s="231">
        <v>38044</v>
      </c>
      <c r="J438" s="141">
        <f t="shared" si="706"/>
        <v>160431</v>
      </c>
      <c r="K438" s="25">
        <f t="shared" si="707"/>
        <v>77778</v>
      </c>
      <c r="L438" s="25">
        <f t="shared" si="704"/>
        <v>407668.79911012179</v>
      </c>
      <c r="M438" s="25"/>
      <c r="N438" s="25"/>
      <c r="O438" s="25"/>
      <c r="P438" s="25">
        <f t="shared" si="708"/>
        <v>492158.32341085264</v>
      </c>
      <c r="Q438" s="25">
        <f t="shared" si="709"/>
        <v>-282851.09860465111</v>
      </c>
      <c r="R438" s="25">
        <f t="shared" si="705"/>
        <v>795173.51011787867</v>
      </c>
      <c r="S438" s="95">
        <f t="shared" si="710"/>
        <v>20164.088102369918</v>
      </c>
      <c r="T438" s="25">
        <f t="shared" si="701"/>
        <v>1418522.2143234741</v>
      </c>
      <c r="U438" s="25">
        <f t="shared" si="702"/>
        <v>776443.85114146117</v>
      </c>
      <c r="Y438" s="25"/>
    </row>
    <row r="439" spans="4:25">
      <c r="D439" s="48">
        <f t="shared" si="703"/>
        <v>49445.666666666664</v>
      </c>
      <c r="I439" s="231">
        <v>38073</v>
      </c>
      <c r="J439" s="141">
        <f t="shared" si="706"/>
        <v>154277</v>
      </c>
      <c r="K439" s="25">
        <f t="shared" si="707"/>
        <v>6154</v>
      </c>
      <c r="L439" s="25">
        <f t="shared" si="704"/>
        <v>410536.28320355894</v>
      </c>
      <c r="M439" s="25"/>
      <c r="N439" s="25"/>
      <c r="O439" s="25"/>
      <c r="P439" s="25">
        <f t="shared" si="708"/>
        <v>492158.32341085264</v>
      </c>
      <c r="Q439" s="25">
        <f t="shared" si="709"/>
        <v>-282851.09860465111</v>
      </c>
      <c r="R439" s="25">
        <f t="shared" si="705"/>
        <v>798040.99421131588</v>
      </c>
      <c r="S439" s="95">
        <f t="shared" si="710"/>
        <v>23031.572195807064</v>
      </c>
      <c r="T439" s="25">
        <f t="shared" si="701"/>
        <v>1418522.2143234741</v>
      </c>
      <c r="U439" s="25">
        <f t="shared" si="702"/>
        <v>776443.85114146117</v>
      </c>
      <c r="Y439" s="25"/>
    </row>
    <row r="440" spans="4:25">
      <c r="D440" s="48">
        <f t="shared" si="703"/>
        <v>55453</v>
      </c>
      <c r="I440" s="231">
        <v>38104</v>
      </c>
      <c r="J440" s="141">
        <f t="shared" si="706"/>
        <v>576385</v>
      </c>
      <c r="K440" s="25">
        <f t="shared" si="707"/>
        <v>422108</v>
      </c>
      <c r="L440" s="25">
        <f t="shared" si="704"/>
        <v>413403.76729699608</v>
      </c>
      <c r="M440" s="25"/>
      <c r="N440" s="25"/>
      <c r="O440" s="25"/>
      <c r="P440" s="25">
        <f t="shared" si="708"/>
        <v>492158.32341085264</v>
      </c>
      <c r="Q440" s="25">
        <f t="shared" si="709"/>
        <v>-282851.09860465111</v>
      </c>
      <c r="R440" s="25">
        <f t="shared" si="705"/>
        <v>800908.47830475308</v>
      </c>
      <c r="S440" s="95">
        <f t="shared" si="710"/>
        <v>25899.05628924421</v>
      </c>
      <c r="T440" s="25">
        <f t="shared" si="701"/>
        <v>1418522.2143234741</v>
      </c>
      <c r="U440" s="25">
        <f t="shared" si="702"/>
        <v>776443.85114146117</v>
      </c>
      <c r="Y440" s="25"/>
    </row>
    <row r="441" spans="4:25">
      <c r="D441" s="48">
        <f t="shared" si="703"/>
        <v>63084.416666666664</v>
      </c>
      <c r="I441" s="231">
        <v>38134</v>
      </c>
      <c r="J441" s="141">
        <f t="shared" si="706"/>
        <v>633258</v>
      </c>
      <c r="K441" s="25">
        <f t="shared" si="707"/>
        <v>56873</v>
      </c>
      <c r="L441" s="25">
        <f t="shared" si="704"/>
        <v>416271.25139043323</v>
      </c>
      <c r="M441" s="25"/>
      <c r="N441" s="25"/>
      <c r="O441" s="25"/>
      <c r="P441" s="25">
        <f t="shared" si="708"/>
        <v>492158.32341085264</v>
      </c>
      <c r="Q441" s="25">
        <f t="shared" si="709"/>
        <v>-282851.09860465111</v>
      </c>
      <c r="R441" s="25">
        <f t="shared" si="705"/>
        <v>803775.96239819028</v>
      </c>
      <c r="S441" s="95">
        <f t="shared" si="710"/>
        <v>28766.540382681356</v>
      </c>
      <c r="T441" s="25">
        <f t="shared" si="701"/>
        <v>1418522.2143234741</v>
      </c>
      <c r="U441" s="25">
        <f t="shared" si="702"/>
        <v>776443.85114146117</v>
      </c>
      <c r="Y441" s="25"/>
    </row>
    <row r="442" spans="4:25">
      <c r="D442" s="48">
        <f t="shared" si="703"/>
        <v>67611.350000000006</v>
      </c>
      <c r="I442" s="231">
        <v>38165</v>
      </c>
      <c r="J442" s="141">
        <f t="shared" si="706"/>
        <v>726588</v>
      </c>
      <c r="K442" s="25">
        <f t="shared" si="707"/>
        <v>93330</v>
      </c>
      <c r="L442" s="25">
        <f t="shared" si="704"/>
        <v>419138.73548387038</v>
      </c>
      <c r="M442" s="25"/>
      <c r="N442" s="25"/>
      <c r="O442" s="25"/>
      <c r="P442" s="25">
        <f t="shared" si="708"/>
        <v>492158.32341085264</v>
      </c>
      <c r="Q442" s="25">
        <f t="shared" si="709"/>
        <v>-282851.09860465111</v>
      </c>
      <c r="R442" s="25">
        <f t="shared" si="705"/>
        <v>806643.44649162749</v>
      </c>
      <c r="S442" s="95">
        <f t="shared" si="710"/>
        <v>31634.024476118502</v>
      </c>
      <c r="T442" s="25">
        <f t="shared" si="701"/>
        <v>1418522.2143234741</v>
      </c>
      <c r="U442" s="25">
        <f t="shared" si="702"/>
        <v>776443.85114146117</v>
      </c>
      <c r="Y442" s="25"/>
    </row>
    <row r="443" spans="4:25">
      <c r="D443" s="48">
        <f t="shared" si="703"/>
        <v>77208.683333333334</v>
      </c>
      <c r="I443" s="231">
        <v>38195</v>
      </c>
      <c r="J443" s="141">
        <f t="shared" si="706"/>
        <v>576314</v>
      </c>
      <c r="K443" s="25">
        <f t="shared" si="707"/>
        <v>150274</v>
      </c>
      <c r="L443" s="25">
        <f t="shared" si="704"/>
        <v>422006.21957730752</v>
      </c>
      <c r="M443" s="25"/>
      <c r="N443" s="25"/>
      <c r="O443" s="25"/>
      <c r="P443" s="25">
        <f t="shared" si="708"/>
        <v>492158.32341085264</v>
      </c>
      <c r="Q443" s="25">
        <f t="shared" si="709"/>
        <v>-282851.09860465111</v>
      </c>
      <c r="R443" s="25">
        <f t="shared" si="705"/>
        <v>809510.93058506469</v>
      </c>
      <c r="S443" s="95">
        <f t="shared" si="710"/>
        <v>34501.508569555648</v>
      </c>
      <c r="T443" s="25">
        <f t="shared" si="701"/>
        <v>1418522.2143234741</v>
      </c>
      <c r="U443" s="25">
        <f t="shared" si="702"/>
        <v>776443.85114146117</v>
      </c>
      <c r="Y443" s="25"/>
    </row>
    <row r="444" spans="4:25">
      <c r="D444" s="48">
        <f t="shared" si="703"/>
        <v>80564.316666666666</v>
      </c>
      <c r="I444" s="231">
        <v>38226</v>
      </c>
      <c r="J444" s="141">
        <f t="shared" si="706"/>
        <v>433317</v>
      </c>
      <c r="K444" s="25">
        <f t="shared" si="707"/>
        <v>142997</v>
      </c>
      <c r="L444" s="25">
        <f t="shared" si="704"/>
        <v>424873.70367074467</v>
      </c>
      <c r="M444" s="25"/>
      <c r="N444" s="25"/>
      <c r="O444" s="25"/>
      <c r="P444" s="25">
        <f t="shared" si="708"/>
        <v>492158.32341085264</v>
      </c>
      <c r="Q444" s="25">
        <f t="shared" si="709"/>
        <v>-282851.09860465111</v>
      </c>
      <c r="R444" s="25">
        <f t="shared" si="705"/>
        <v>812378.4146785019</v>
      </c>
      <c r="S444" s="95">
        <f t="shared" si="710"/>
        <v>37368.992662992794</v>
      </c>
      <c r="T444" s="25">
        <f t="shared" si="701"/>
        <v>1418522.2143234741</v>
      </c>
      <c r="U444" s="25">
        <f t="shared" si="702"/>
        <v>776443.85114146117</v>
      </c>
      <c r="Y444" s="25"/>
    </row>
    <row r="445" spans="4:25">
      <c r="D445" s="48">
        <f t="shared" si="703"/>
        <v>85124.53333333334</v>
      </c>
      <c r="I445" s="231">
        <v>38257</v>
      </c>
      <c r="J445" s="141">
        <f t="shared" si="706"/>
        <v>503443</v>
      </c>
      <c r="K445" s="25">
        <f t="shared" si="707"/>
        <v>70126</v>
      </c>
      <c r="L445" s="25">
        <f t="shared" si="704"/>
        <v>427741.18776418181</v>
      </c>
      <c r="M445" s="25"/>
      <c r="N445" s="25"/>
      <c r="O445" s="25"/>
      <c r="P445" s="25">
        <f t="shared" si="708"/>
        <v>492158.32341085264</v>
      </c>
      <c r="Q445" s="25">
        <f t="shared" si="709"/>
        <v>-282851.09860465111</v>
      </c>
      <c r="R445" s="25">
        <f t="shared" si="705"/>
        <v>815245.8987719391</v>
      </c>
      <c r="S445" s="95">
        <f t="shared" si="710"/>
        <v>40236.47675642994</v>
      </c>
      <c r="T445" s="25">
        <f t="shared" si="701"/>
        <v>1418522.2143234741</v>
      </c>
      <c r="U445" s="25">
        <f t="shared" si="702"/>
        <v>776443.85114146117</v>
      </c>
      <c r="Y445" s="25"/>
    </row>
    <row r="446" spans="4:25">
      <c r="D446" s="48">
        <f t="shared" si="703"/>
        <v>96388.883333333331</v>
      </c>
      <c r="I446" s="231">
        <v>38287</v>
      </c>
      <c r="J446" s="141">
        <f t="shared" si="706"/>
        <v>637324</v>
      </c>
      <c r="K446" s="25">
        <f t="shared" si="707"/>
        <v>133881</v>
      </c>
      <c r="L446" s="25">
        <f t="shared" si="704"/>
        <v>430608.67185761896</v>
      </c>
      <c r="M446" s="25"/>
      <c r="N446" s="25"/>
      <c r="O446" s="25"/>
      <c r="P446" s="25">
        <f t="shared" si="708"/>
        <v>492158.32341085264</v>
      </c>
      <c r="Q446" s="25">
        <f t="shared" si="709"/>
        <v>-282851.09860465111</v>
      </c>
      <c r="R446" s="25">
        <f t="shared" si="705"/>
        <v>818113.3828653763</v>
      </c>
      <c r="S446" s="95">
        <f t="shared" si="710"/>
        <v>43103.960849867086</v>
      </c>
      <c r="T446" s="25">
        <f t="shared" si="701"/>
        <v>1418522.2143234741</v>
      </c>
      <c r="U446" s="25">
        <f t="shared" si="702"/>
        <v>776443.85114146117</v>
      </c>
      <c r="Y446" s="25"/>
    </row>
    <row r="447" spans="4:25">
      <c r="D447" s="48">
        <f t="shared" si="703"/>
        <v>94484.166666666672</v>
      </c>
      <c r="I447" s="231">
        <v>38318</v>
      </c>
      <c r="J447" s="141">
        <f t="shared" si="706"/>
        <v>4576</v>
      </c>
      <c r="K447" s="25">
        <f t="shared" si="707"/>
        <v>632748</v>
      </c>
      <c r="L447" s="25">
        <f t="shared" si="704"/>
        <v>433476.15595105611</v>
      </c>
      <c r="M447" s="25"/>
      <c r="N447" s="25"/>
      <c r="O447" s="25"/>
      <c r="P447" s="25">
        <f t="shared" si="708"/>
        <v>492158.32341085264</v>
      </c>
      <c r="Q447" s="25">
        <f t="shared" si="709"/>
        <v>-282851.09860465111</v>
      </c>
      <c r="R447" s="25">
        <f t="shared" si="705"/>
        <v>820980.86695881351</v>
      </c>
      <c r="S447" s="95">
        <f t="shared" si="710"/>
        <v>45971.444943304232</v>
      </c>
      <c r="T447" s="25">
        <f t="shared" si="701"/>
        <v>1418522.2143234741</v>
      </c>
      <c r="U447" s="25">
        <f t="shared" si="702"/>
        <v>776443.85114146117</v>
      </c>
      <c r="Y447" s="25"/>
    </row>
    <row r="448" spans="4:25">
      <c r="D448" s="48">
        <f t="shared" si="703"/>
        <v>97137.866666666669</v>
      </c>
      <c r="I448" s="668">
        <v>38348</v>
      </c>
      <c r="J448" s="141">
        <f t="shared" si="706"/>
        <v>-120778</v>
      </c>
      <c r="K448" s="25">
        <f t="shared" si="707"/>
        <v>125354</v>
      </c>
      <c r="L448" s="25">
        <f t="shared" si="704"/>
        <v>436343.64004449325</v>
      </c>
      <c r="M448" s="25"/>
      <c r="N448" s="25"/>
      <c r="O448" s="25"/>
      <c r="P448" s="25">
        <f t="shared" si="708"/>
        <v>492158.32341085264</v>
      </c>
      <c r="Q448" s="25">
        <f t="shared" si="709"/>
        <v>-282851.09860465111</v>
      </c>
      <c r="R448" s="25">
        <f t="shared" si="705"/>
        <v>823848.35105225071</v>
      </c>
      <c r="S448" s="95">
        <f t="shared" si="710"/>
        <v>48838.929036741378</v>
      </c>
      <c r="T448" s="25">
        <f t="shared" ref="T448:T509" si="711">$R$317+1.88*$S$317</f>
        <v>1418522.2143234741</v>
      </c>
      <c r="U448" s="25">
        <f t="shared" ref="U448:U509" si="712">$R$317-1.88*$S$317</f>
        <v>776443.85114146117</v>
      </c>
      <c r="Y448" s="25"/>
    </row>
    <row r="449" spans="4:25">
      <c r="D449" s="48">
        <f t="shared" si="703"/>
        <v>95411.416666666672</v>
      </c>
      <c r="I449" s="231">
        <v>38379</v>
      </c>
      <c r="J449" s="141">
        <f t="shared" si="706"/>
        <v>-156557</v>
      </c>
      <c r="K449" s="25">
        <f t="shared" si="707"/>
        <v>35779</v>
      </c>
      <c r="L449" s="25">
        <f t="shared" si="704"/>
        <v>439211.1241379304</v>
      </c>
      <c r="M449" s="25"/>
      <c r="N449" s="25"/>
      <c r="O449" s="25"/>
      <c r="P449" s="25">
        <f t="shared" si="708"/>
        <v>492158.32341085264</v>
      </c>
      <c r="Q449" s="25">
        <f t="shared" si="709"/>
        <v>-282851.09860465111</v>
      </c>
      <c r="R449" s="25">
        <f t="shared" si="705"/>
        <v>826715.83514568792</v>
      </c>
      <c r="S449" s="95">
        <f t="shared" si="710"/>
        <v>51706.413130178524</v>
      </c>
      <c r="T449" s="25">
        <f t="shared" si="711"/>
        <v>1418522.2143234741</v>
      </c>
      <c r="U449" s="25">
        <f t="shared" si="712"/>
        <v>776443.85114146117</v>
      </c>
      <c r="Y449" s="25"/>
    </row>
    <row r="450" spans="4:25">
      <c r="D450" s="48">
        <f t="shared" si="703"/>
        <v>100687.26666666666</v>
      </c>
      <c r="I450" s="231">
        <v>38410</v>
      </c>
      <c r="J450" s="141">
        <f t="shared" si="706"/>
        <v>96262</v>
      </c>
      <c r="K450" s="25">
        <f t="shared" si="707"/>
        <v>252819</v>
      </c>
      <c r="L450" s="25">
        <f t="shared" ref="L450:L509" si="713">L449+$C$491</f>
        <v>442078.60823136754</v>
      </c>
      <c r="M450" s="25"/>
      <c r="N450" s="25"/>
      <c r="O450" s="25"/>
      <c r="P450" s="25">
        <f t="shared" si="708"/>
        <v>492158.32341085264</v>
      </c>
      <c r="Q450" s="25">
        <f t="shared" si="709"/>
        <v>-282851.09860465111</v>
      </c>
      <c r="R450" s="25">
        <f t="shared" ref="R450:R509" si="714">R449+$C$491</f>
        <v>829583.31923912512</v>
      </c>
      <c r="S450" s="95">
        <f t="shared" si="710"/>
        <v>54573.89722361567</v>
      </c>
      <c r="T450" s="25">
        <f t="shared" si="711"/>
        <v>1418522.2143234741</v>
      </c>
      <c r="U450" s="25">
        <f t="shared" si="712"/>
        <v>776443.85114146117</v>
      </c>
      <c r="Y450" s="25"/>
    </row>
    <row r="451" spans="4:25">
      <c r="D451" s="48">
        <f t="shared" si="703"/>
        <v>101369.5</v>
      </c>
      <c r="I451" s="231">
        <v>38438</v>
      </c>
      <c r="J451" s="141">
        <f t="shared" si="706"/>
        <v>365145</v>
      </c>
      <c r="K451" s="25">
        <f t="shared" si="707"/>
        <v>268883</v>
      </c>
      <c r="L451" s="25">
        <f t="shared" si="713"/>
        <v>444946.09232480469</v>
      </c>
      <c r="M451" s="25"/>
      <c r="N451" s="25"/>
      <c r="O451" s="25"/>
      <c r="P451" s="25">
        <f t="shared" si="708"/>
        <v>492158.32341085264</v>
      </c>
      <c r="Q451" s="25">
        <f t="shared" si="709"/>
        <v>-282851.09860465111</v>
      </c>
      <c r="R451" s="25">
        <f t="shared" si="714"/>
        <v>832450.80333256233</v>
      </c>
      <c r="S451" s="95">
        <f t="shared" si="710"/>
        <v>57441.381317052816</v>
      </c>
      <c r="T451" s="25">
        <f t="shared" si="711"/>
        <v>1418522.2143234741</v>
      </c>
      <c r="U451" s="25">
        <f t="shared" si="712"/>
        <v>776443.85114146117</v>
      </c>
      <c r="Y451" s="25"/>
    </row>
    <row r="452" spans="4:25">
      <c r="D452" s="48">
        <f t="shared" si="703"/>
        <v>104659.85</v>
      </c>
      <c r="I452" s="231">
        <v>38469</v>
      </c>
      <c r="J452" s="141">
        <f t="shared" si="706"/>
        <v>73987</v>
      </c>
      <c r="K452" s="25">
        <f t="shared" si="707"/>
        <v>291158</v>
      </c>
      <c r="L452" s="25">
        <f t="shared" si="713"/>
        <v>447813.57641824184</v>
      </c>
      <c r="M452" s="25"/>
      <c r="N452" s="25"/>
      <c r="O452" s="25"/>
      <c r="P452" s="25">
        <f t="shared" si="708"/>
        <v>492158.32341085264</v>
      </c>
      <c r="Q452" s="25">
        <f t="shared" si="709"/>
        <v>-282851.09860465111</v>
      </c>
      <c r="R452" s="25">
        <f t="shared" si="714"/>
        <v>835318.28742599953</v>
      </c>
      <c r="S452" s="95">
        <f t="shared" si="710"/>
        <v>60308.865410489962</v>
      </c>
      <c r="T452" s="25">
        <f t="shared" si="711"/>
        <v>1418522.2143234741</v>
      </c>
      <c r="U452" s="25">
        <f t="shared" si="712"/>
        <v>776443.85114146117</v>
      </c>
      <c r="Y452" s="25"/>
    </row>
    <row r="453" spans="4:25">
      <c r="D453" s="48">
        <f t="shared" si="703"/>
        <v>103022.01666666666</v>
      </c>
      <c r="I453" s="231">
        <v>38499</v>
      </c>
      <c r="J453" s="141">
        <f t="shared" si="706"/>
        <v>-219974</v>
      </c>
      <c r="K453" s="25">
        <f t="shared" si="707"/>
        <v>293961</v>
      </c>
      <c r="L453" s="25">
        <f t="shared" si="713"/>
        <v>450681.06051167898</v>
      </c>
      <c r="M453" s="25"/>
      <c r="N453" s="25"/>
      <c r="O453" s="25"/>
      <c r="P453" s="25">
        <f t="shared" si="708"/>
        <v>492158.32341085264</v>
      </c>
      <c r="Q453" s="25">
        <f t="shared" si="709"/>
        <v>-282851.09860465111</v>
      </c>
      <c r="R453" s="25">
        <f t="shared" si="714"/>
        <v>838185.77151943673</v>
      </c>
      <c r="S453" s="95">
        <f t="shared" si="710"/>
        <v>63176.349503927107</v>
      </c>
      <c r="T453" s="25">
        <f t="shared" si="711"/>
        <v>1418522.2143234741</v>
      </c>
      <c r="U453" s="25">
        <f t="shared" si="712"/>
        <v>776443.85114146117</v>
      </c>
      <c r="Y453" s="25"/>
    </row>
    <row r="454" spans="4:25">
      <c r="D454" s="48">
        <f t="shared" si="703"/>
        <v>99081.55</v>
      </c>
      <c r="I454" s="231">
        <v>38530</v>
      </c>
      <c r="J454" s="141">
        <f t="shared" ref="J454:J485" si="715">C260</f>
        <v>145102</v>
      </c>
      <c r="K454" s="25">
        <f t="shared" ref="K454:K485" si="716">L260</f>
        <v>365076</v>
      </c>
      <c r="L454" s="25">
        <f t="shared" si="713"/>
        <v>453548.54460511613</v>
      </c>
      <c r="M454" s="25"/>
      <c r="N454" s="25"/>
      <c r="O454" s="25"/>
      <c r="P454" s="25">
        <f t="shared" ref="P454:P509" si="717">$A$491+1.88*$B$491</f>
        <v>492158.32341085264</v>
      </c>
      <c r="Q454" s="25">
        <f t="shared" ref="Q454:Q509" si="718">$A$491-1.88*$B$491</f>
        <v>-282851.09860465111</v>
      </c>
      <c r="R454" s="25">
        <f t="shared" si="714"/>
        <v>841053.25561287394</v>
      </c>
      <c r="S454" s="95">
        <f t="shared" ref="S454:S474" si="719">L454-$B$491*1.88</f>
        <v>66043.833597364253</v>
      </c>
      <c r="T454" s="25">
        <f t="shared" si="711"/>
        <v>1418522.2143234741</v>
      </c>
      <c r="U454" s="25">
        <f t="shared" si="712"/>
        <v>776443.85114146117</v>
      </c>
      <c r="Y454" s="25"/>
    </row>
    <row r="455" spans="4:25">
      <c r="D455" s="48">
        <f t="shared" si="703"/>
        <v>107627</v>
      </c>
      <c r="I455" s="231">
        <v>38560</v>
      </c>
      <c r="J455" s="141">
        <f t="shared" si="715"/>
        <v>140017</v>
      </c>
      <c r="K455" s="25">
        <f t="shared" si="716"/>
        <v>5085</v>
      </c>
      <c r="L455" s="25">
        <f t="shared" si="713"/>
        <v>456416.02869855327</v>
      </c>
      <c r="M455" s="25"/>
      <c r="N455" s="25"/>
      <c r="O455" s="25"/>
      <c r="P455" s="25">
        <f t="shared" si="717"/>
        <v>492158.32341085264</v>
      </c>
      <c r="Q455" s="25">
        <f t="shared" si="718"/>
        <v>-282851.09860465111</v>
      </c>
      <c r="R455" s="25">
        <f t="shared" si="714"/>
        <v>843920.73970631114</v>
      </c>
      <c r="S455" s="95">
        <f t="shared" si="719"/>
        <v>68911.317690801399</v>
      </c>
      <c r="T455" s="25">
        <f t="shared" si="711"/>
        <v>1418522.2143234741</v>
      </c>
      <c r="U455" s="25">
        <f t="shared" si="712"/>
        <v>776443.85114146117</v>
      </c>
      <c r="Y455" s="25"/>
    </row>
    <row r="456" spans="4:25">
      <c r="D456" s="48">
        <f t="shared" si="703"/>
        <v>116963.4</v>
      </c>
      <c r="I456" s="231">
        <v>38591</v>
      </c>
      <c r="J456" s="141">
        <f t="shared" si="715"/>
        <v>433882</v>
      </c>
      <c r="K456" s="25">
        <f t="shared" si="716"/>
        <v>293865</v>
      </c>
      <c r="L456" s="25">
        <f t="shared" si="713"/>
        <v>459283.51279199042</v>
      </c>
      <c r="M456" s="25"/>
      <c r="N456" s="25"/>
      <c r="O456" s="25"/>
      <c r="P456" s="25">
        <f t="shared" si="717"/>
        <v>492158.32341085264</v>
      </c>
      <c r="Q456" s="25">
        <f t="shared" si="718"/>
        <v>-282851.09860465111</v>
      </c>
      <c r="R456" s="25">
        <f t="shared" si="714"/>
        <v>846788.22379974835</v>
      </c>
      <c r="S456" s="95">
        <f t="shared" si="719"/>
        <v>71778.801784238545</v>
      </c>
      <c r="T456" s="25">
        <f t="shared" si="711"/>
        <v>1418522.2143234741</v>
      </c>
      <c r="U456" s="25">
        <f t="shared" si="712"/>
        <v>776443.85114146117</v>
      </c>
      <c r="Y456" s="25"/>
    </row>
    <row r="457" spans="4:25">
      <c r="D457" s="48">
        <f t="shared" si="703"/>
        <v>112945.96666666666</v>
      </c>
      <c r="I457" s="231">
        <v>38622</v>
      </c>
      <c r="J457" s="141">
        <f t="shared" si="715"/>
        <v>-106</v>
      </c>
      <c r="K457" s="25">
        <f t="shared" si="716"/>
        <v>433988</v>
      </c>
      <c r="L457" s="25">
        <f t="shared" si="713"/>
        <v>462150.99688542756</v>
      </c>
      <c r="M457" s="25"/>
      <c r="N457" s="25"/>
      <c r="O457" s="25"/>
      <c r="P457" s="25">
        <f t="shared" si="717"/>
        <v>492158.32341085264</v>
      </c>
      <c r="Q457" s="25">
        <f t="shared" si="718"/>
        <v>-282851.09860465111</v>
      </c>
      <c r="R457" s="25">
        <f t="shared" si="714"/>
        <v>849655.70789318555</v>
      </c>
      <c r="S457" s="95">
        <f t="shared" si="719"/>
        <v>74646.285877675691</v>
      </c>
      <c r="T457" s="25">
        <f t="shared" si="711"/>
        <v>1418522.2143234741</v>
      </c>
      <c r="U457" s="25">
        <f t="shared" si="712"/>
        <v>776443.85114146117</v>
      </c>
      <c r="Y457" s="25"/>
    </row>
    <row r="458" spans="4:25">
      <c r="D458" s="48">
        <f t="shared" si="703"/>
        <v>108184.08333333333</v>
      </c>
      <c r="I458" s="231">
        <v>38652</v>
      </c>
      <c r="J458" s="141">
        <f t="shared" si="715"/>
        <v>-101578</v>
      </c>
      <c r="K458" s="25">
        <f t="shared" si="716"/>
        <v>101472</v>
      </c>
      <c r="L458" s="25">
        <f t="shared" si="713"/>
        <v>465018.48097886471</v>
      </c>
      <c r="M458" s="25"/>
      <c r="N458" s="25"/>
      <c r="O458" s="25"/>
      <c r="P458" s="25">
        <f t="shared" si="717"/>
        <v>492158.32341085264</v>
      </c>
      <c r="Q458" s="25">
        <f t="shared" si="718"/>
        <v>-282851.09860465111</v>
      </c>
      <c r="R458" s="25">
        <f t="shared" si="714"/>
        <v>852523.19198662275</v>
      </c>
      <c r="S458" s="95">
        <f t="shared" si="719"/>
        <v>77513.769971112837</v>
      </c>
      <c r="T458" s="25">
        <f t="shared" si="711"/>
        <v>1418522.2143234741</v>
      </c>
      <c r="U458" s="25">
        <f t="shared" si="712"/>
        <v>776443.85114146117</v>
      </c>
      <c r="Y458" s="25"/>
    </row>
    <row r="459" spans="4:25">
      <c r="D459" s="48">
        <f t="shared" si="703"/>
        <v>110166.35</v>
      </c>
      <c r="I459" s="231">
        <v>38683</v>
      </c>
      <c r="J459" s="141">
        <f t="shared" si="715"/>
        <v>-28807</v>
      </c>
      <c r="K459" s="25">
        <f t="shared" si="716"/>
        <v>72771</v>
      </c>
      <c r="L459" s="25">
        <f t="shared" si="713"/>
        <v>467885.96507230186</v>
      </c>
      <c r="M459" s="25"/>
      <c r="N459" s="25"/>
      <c r="O459" s="25"/>
      <c r="P459" s="25">
        <f t="shared" si="717"/>
        <v>492158.32341085264</v>
      </c>
      <c r="Q459" s="25">
        <f t="shared" si="718"/>
        <v>-282851.09860465111</v>
      </c>
      <c r="R459" s="25">
        <f t="shared" si="714"/>
        <v>855390.67608005996</v>
      </c>
      <c r="S459" s="95">
        <f t="shared" si="719"/>
        <v>80381.254064549983</v>
      </c>
      <c r="T459" s="25">
        <f t="shared" si="711"/>
        <v>1418522.2143234741</v>
      </c>
      <c r="U459" s="25">
        <f t="shared" si="712"/>
        <v>776443.85114146117</v>
      </c>
      <c r="Y459" s="25"/>
    </row>
    <row r="460" spans="4:25">
      <c r="D460" s="48">
        <f t="shared" si="703"/>
        <v>110452.33333333333</v>
      </c>
      <c r="I460" s="668">
        <v>38713</v>
      </c>
      <c r="J460" s="751">
        <f t="shared" si="715"/>
        <v>-201599</v>
      </c>
      <c r="K460" s="121">
        <f t="shared" si="716"/>
        <v>172792</v>
      </c>
      <c r="L460" s="121">
        <f t="shared" si="713"/>
        <v>470753.449165739</v>
      </c>
      <c r="M460" s="121"/>
      <c r="N460" s="121"/>
      <c r="O460" s="121"/>
      <c r="P460" s="121">
        <f t="shared" si="717"/>
        <v>492158.32341085264</v>
      </c>
      <c r="Q460" s="121">
        <f t="shared" si="718"/>
        <v>-282851.09860465111</v>
      </c>
      <c r="R460" s="121">
        <f t="shared" si="714"/>
        <v>858258.16017349716</v>
      </c>
      <c r="S460" s="626">
        <f t="shared" si="719"/>
        <v>83248.738157987129</v>
      </c>
      <c r="T460" s="121">
        <f t="shared" si="711"/>
        <v>1418522.2143234741</v>
      </c>
      <c r="U460" s="121">
        <f t="shared" si="712"/>
        <v>776443.85114146117</v>
      </c>
      <c r="Y460" s="25"/>
    </row>
    <row r="461" spans="4:25">
      <c r="D461" s="48">
        <f t="shared" si="703"/>
        <v>109008.18333333333</v>
      </c>
      <c r="I461" s="676">
        <v>38744</v>
      </c>
      <c r="J461" s="751">
        <f t="shared" si="715"/>
        <v>-376885</v>
      </c>
      <c r="K461" s="121">
        <f t="shared" si="716"/>
        <v>175286</v>
      </c>
      <c r="L461" s="121">
        <f t="shared" si="713"/>
        <v>473620.93325917615</v>
      </c>
      <c r="M461" s="121"/>
      <c r="N461" s="121"/>
      <c r="O461" s="121"/>
      <c r="P461" s="121">
        <f t="shared" si="717"/>
        <v>492158.32341085264</v>
      </c>
      <c r="Q461" s="121">
        <f t="shared" si="718"/>
        <v>-282851.09860465111</v>
      </c>
      <c r="R461" s="121">
        <f t="shared" si="714"/>
        <v>861125.64426693437</v>
      </c>
      <c r="S461" s="626">
        <f t="shared" si="719"/>
        <v>86116.222251424275</v>
      </c>
      <c r="T461" s="121">
        <f t="shared" si="711"/>
        <v>1418522.2143234741</v>
      </c>
      <c r="U461" s="121">
        <f t="shared" si="712"/>
        <v>776443.85114146117</v>
      </c>
      <c r="Y461" s="25"/>
    </row>
    <row r="462" spans="4:25">
      <c r="D462" s="48">
        <f t="shared" si="703"/>
        <v>109052.31666666667</v>
      </c>
      <c r="I462" s="676">
        <v>38775</v>
      </c>
      <c r="J462" s="751">
        <f t="shared" si="715"/>
        <v>-264312</v>
      </c>
      <c r="K462" s="121">
        <f t="shared" si="716"/>
        <v>112573</v>
      </c>
      <c r="L462" s="121">
        <f t="shared" si="713"/>
        <v>476488.41735261329</v>
      </c>
      <c r="M462" s="121"/>
      <c r="N462" s="121"/>
      <c r="O462" s="121"/>
      <c r="P462" s="121">
        <f t="shared" si="717"/>
        <v>492158.32341085264</v>
      </c>
      <c r="Q462" s="121">
        <f t="shared" si="718"/>
        <v>-282851.09860465111</v>
      </c>
      <c r="R462" s="121">
        <f t="shared" si="714"/>
        <v>863993.12836037157</v>
      </c>
      <c r="S462" s="626">
        <f t="shared" si="719"/>
        <v>88983.706344861421</v>
      </c>
      <c r="T462" s="121">
        <f t="shared" si="711"/>
        <v>1418522.2143234741</v>
      </c>
      <c r="U462" s="121">
        <f t="shared" si="712"/>
        <v>776443.85114146117</v>
      </c>
      <c r="Y462" s="25"/>
    </row>
    <row r="463" spans="4:25">
      <c r="D463" s="48">
        <f t="shared" si="703"/>
        <v>96832.016666666663</v>
      </c>
      <c r="I463" s="676">
        <v>38803</v>
      </c>
      <c r="J463" s="751">
        <f t="shared" si="715"/>
        <v>-299192</v>
      </c>
      <c r="K463" s="121">
        <f t="shared" si="716"/>
        <v>34880</v>
      </c>
      <c r="L463" s="121">
        <f t="shared" si="713"/>
        <v>479355.90144605044</v>
      </c>
      <c r="M463" s="121"/>
      <c r="N463" s="121"/>
      <c r="O463" s="121"/>
      <c r="P463" s="121">
        <f t="shared" si="717"/>
        <v>492158.32341085264</v>
      </c>
      <c r="Q463" s="121">
        <f t="shared" si="718"/>
        <v>-282851.09860465111</v>
      </c>
      <c r="R463" s="121">
        <f t="shared" si="714"/>
        <v>866860.61245380878</v>
      </c>
      <c r="S463" s="626">
        <f t="shared" si="719"/>
        <v>91851.190438298567</v>
      </c>
      <c r="T463" s="121">
        <f t="shared" si="711"/>
        <v>1418522.2143234741</v>
      </c>
      <c r="U463" s="121">
        <f t="shared" si="712"/>
        <v>776443.85114146117</v>
      </c>
      <c r="Y463" s="25"/>
    </row>
    <row r="464" spans="4:25">
      <c r="D464" s="48">
        <f t="shared" si="703"/>
        <v>104056.98333333334</v>
      </c>
      <c r="I464" s="676">
        <v>38834</v>
      </c>
      <c r="J464" s="751">
        <f t="shared" si="715"/>
        <v>598107</v>
      </c>
      <c r="K464" s="121">
        <f t="shared" si="716"/>
        <v>897299</v>
      </c>
      <c r="L464" s="121">
        <f t="shared" si="713"/>
        <v>482223.38553948759</v>
      </c>
      <c r="M464" s="121"/>
      <c r="N464" s="121"/>
      <c r="O464" s="121"/>
      <c r="P464" s="121">
        <f t="shared" si="717"/>
        <v>492158.32341085264</v>
      </c>
      <c r="Q464" s="121">
        <f t="shared" si="718"/>
        <v>-282851.09860465111</v>
      </c>
      <c r="R464" s="121">
        <f t="shared" si="714"/>
        <v>869728.09654724598</v>
      </c>
      <c r="S464" s="626">
        <f t="shared" si="719"/>
        <v>94718.674531735713</v>
      </c>
      <c r="T464" s="121">
        <f t="shared" si="711"/>
        <v>1418522.2143234741</v>
      </c>
      <c r="U464" s="121">
        <f t="shared" si="712"/>
        <v>776443.85114146117</v>
      </c>
      <c r="Y464" s="25"/>
    </row>
    <row r="465" spans="4:25">
      <c r="D465" s="48">
        <f t="shared" ref="D465:D480" si="720">AVERAGE(J406:J465)</f>
        <v>106603.61666666667</v>
      </c>
      <c r="I465" s="676">
        <v>38864</v>
      </c>
      <c r="J465" s="751">
        <f t="shared" si="715"/>
        <v>598853</v>
      </c>
      <c r="K465" s="121">
        <f t="shared" si="716"/>
        <v>746</v>
      </c>
      <c r="L465" s="121">
        <f t="shared" si="713"/>
        <v>485090.86963292473</v>
      </c>
      <c r="M465" s="121"/>
      <c r="N465" s="121"/>
      <c r="O465" s="121"/>
      <c r="P465" s="121">
        <f t="shared" si="717"/>
        <v>492158.32341085264</v>
      </c>
      <c r="Q465" s="121">
        <f t="shared" si="718"/>
        <v>-282851.09860465111</v>
      </c>
      <c r="R465" s="121">
        <f t="shared" si="714"/>
        <v>872595.58064068318</v>
      </c>
      <c r="S465" s="626">
        <f t="shared" si="719"/>
        <v>97586.158625172859</v>
      </c>
      <c r="T465" s="121">
        <f t="shared" si="711"/>
        <v>1418522.2143234741</v>
      </c>
      <c r="U465" s="121">
        <f t="shared" si="712"/>
        <v>776443.85114146117</v>
      </c>
      <c r="Y465" s="25"/>
    </row>
    <row r="466" spans="4:25">
      <c r="D466" s="48">
        <f t="shared" si="720"/>
        <v>115024.96666666666</v>
      </c>
      <c r="I466" s="676">
        <v>38895</v>
      </c>
      <c r="J466" s="751">
        <f t="shared" si="715"/>
        <v>699684</v>
      </c>
      <c r="K466" s="121">
        <f t="shared" si="716"/>
        <v>100831</v>
      </c>
      <c r="L466" s="121">
        <f t="shared" si="713"/>
        <v>487958.35372636188</v>
      </c>
      <c r="M466" s="121"/>
      <c r="N466" s="121"/>
      <c r="O466" s="121"/>
      <c r="P466" s="121">
        <f t="shared" si="717"/>
        <v>492158.32341085264</v>
      </c>
      <c r="Q466" s="121">
        <f t="shared" si="718"/>
        <v>-282851.09860465111</v>
      </c>
      <c r="R466" s="121">
        <f t="shared" si="714"/>
        <v>875463.06473412039</v>
      </c>
      <c r="S466" s="626">
        <f t="shared" si="719"/>
        <v>100453.64271861</v>
      </c>
      <c r="T466" s="121">
        <f t="shared" si="711"/>
        <v>1418522.2143234741</v>
      </c>
      <c r="U466" s="121">
        <f t="shared" si="712"/>
        <v>776443.85114146117</v>
      </c>
      <c r="Y466" s="25"/>
    </row>
    <row r="467" spans="4:25">
      <c r="D467" s="48">
        <f t="shared" si="720"/>
        <v>122546.91666666667</v>
      </c>
      <c r="I467" s="676">
        <v>38925</v>
      </c>
      <c r="J467" s="751">
        <f t="shared" si="715"/>
        <v>102285</v>
      </c>
      <c r="K467" s="121">
        <f t="shared" si="716"/>
        <v>597399</v>
      </c>
      <c r="L467" s="121">
        <f t="shared" si="713"/>
        <v>490825.83781979902</v>
      </c>
      <c r="M467" s="121"/>
      <c r="N467" s="121"/>
      <c r="O467" s="121"/>
      <c r="P467" s="121">
        <f t="shared" si="717"/>
        <v>492158.32341085264</v>
      </c>
      <c r="Q467" s="121">
        <f t="shared" si="718"/>
        <v>-282851.09860465111</v>
      </c>
      <c r="R467" s="121">
        <f t="shared" si="714"/>
        <v>878330.54882755759</v>
      </c>
      <c r="S467" s="626">
        <f t="shared" si="719"/>
        <v>103321.12681204715</v>
      </c>
      <c r="T467" s="121">
        <f t="shared" si="711"/>
        <v>1418522.2143234741</v>
      </c>
      <c r="U467" s="121">
        <f t="shared" si="712"/>
        <v>776443.85114146117</v>
      </c>
      <c r="Y467" s="25"/>
    </row>
    <row r="468" spans="4:25">
      <c r="D468" s="48">
        <f>AVERAGE(J409:J468)</f>
        <v>128826.46666666666</v>
      </c>
      <c r="I468" s="676">
        <v>38956</v>
      </c>
      <c r="J468" s="751">
        <f t="shared" si="715"/>
        <v>421137</v>
      </c>
      <c r="K468" s="121">
        <f t="shared" si="716"/>
        <v>318852</v>
      </c>
      <c r="L468" s="121">
        <f t="shared" si="713"/>
        <v>493693.32191323617</v>
      </c>
      <c r="M468" s="121"/>
      <c r="N468" s="121"/>
      <c r="O468" s="121"/>
      <c r="P468" s="121">
        <f t="shared" si="717"/>
        <v>492158.32341085264</v>
      </c>
      <c r="Q468" s="121">
        <f t="shared" si="718"/>
        <v>-282851.09860465111</v>
      </c>
      <c r="R468" s="121">
        <f t="shared" si="714"/>
        <v>881198.0329209948</v>
      </c>
      <c r="S468" s="626">
        <f t="shared" si="719"/>
        <v>106188.6109054843</v>
      </c>
      <c r="T468" s="121">
        <f t="shared" si="711"/>
        <v>1418522.2143234741</v>
      </c>
      <c r="U468" s="121">
        <f t="shared" si="712"/>
        <v>776443.85114146117</v>
      </c>
      <c r="Y468" s="25"/>
    </row>
    <row r="469" spans="4:25">
      <c r="D469" s="48">
        <f t="shared" si="720"/>
        <v>131926.03333333333</v>
      </c>
      <c r="I469" s="676">
        <v>38987</v>
      </c>
      <c r="J469" s="751">
        <f t="shared" si="715"/>
        <v>262188</v>
      </c>
      <c r="K469" s="121">
        <f t="shared" si="716"/>
        <v>158949</v>
      </c>
      <c r="L469" s="121">
        <f t="shared" si="713"/>
        <v>496560.80600667332</v>
      </c>
      <c r="M469" s="121"/>
      <c r="N469" s="121"/>
      <c r="O469" s="121"/>
      <c r="P469" s="121">
        <f t="shared" si="717"/>
        <v>492158.32341085264</v>
      </c>
      <c r="Q469" s="121">
        <f t="shared" si="718"/>
        <v>-282851.09860465111</v>
      </c>
      <c r="R469" s="121">
        <f t="shared" si="714"/>
        <v>884065.517014432</v>
      </c>
      <c r="S469" s="626">
        <f t="shared" si="719"/>
        <v>109056.09499892144</v>
      </c>
      <c r="T469" s="121">
        <f t="shared" si="711"/>
        <v>1418522.2143234741</v>
      </c>
      <c r="U469" s="121">
        <f t="shared" si="712"/>
        <v>776443.85114146117</v>
      </c>
      <c r="Y469" s="25"/>
    </row>
    <row r="470" spans="4:25">
      <c r="D470" s="48">
        <f t="shared" si="720"/>
        <v>132981.83333333334</v>
      </c>
      <c r="I470" s="676">
        <v>39017</v>
      </c>
      <c r="J470" s="751">
        <f t="shared" si="715"/>
        <v>-25329</v>
      </c>
      <c r="K470" s="121">
        <f t="shared" si="716"/>
        <v>287517</v>
      </c>
      <c r="L470" s="121">
        <f t="shared" si="713"/>
        <v>499428.29010011046</v>
      </c>
      <c r="M470" s="121"/>
      <c r="N470" s="121"/>
      <c r="O470" s="121"/>
      <c r="P470" s="121">
        <f t="shared" si="717"/>
        <v>492158.32341085264</v>
      </c>
      <c r="Q470" s="121">
        <f t="shared" si="718"/>
        <v>-282851.09860465111</v>
      </c>
      <c r="R470" s="121">
        <f t="shared" si="714"/>
        <v>886933.0011078692</v>
      </c>
      <c r="S470" s="626">
        <f t="shared" si="719"/>
        <v>111923.57909235859</v>
      </c>
      <c r="T470" s="121">
        <f t="shared" si="711"/>
        <v>1418522.2143234741</v>
      </c>
      <c r="U470" s="121">
        <f t="shared" si="712"/>
        <v>776443.85114146117</v>
      </c>
      <c r="Y470" s="25"/>
    </row>
    <row r="471" spans="4:25">
      <c r="D471" s="48">
        <f t="shared" si="720"/>
        <v>135656.81666666668</v>
      </c>
      <c r="I471" s="676">
        <v>39048</v>
      </c>
      <c r="J471" s="751">
        <f t="shared" si="715"/>
        <v>82905</v>
      </c>
      <c r="K471" s="121">
        <f t="shared" si="716"/>
        <v>108234</v>
      </c>
      <c r="L471" s="121">
        <f t="shared" si="713"/>
        <v>502295.77419354761</v>
      </c>
      <c r="M471" s="121"/>
      <c r="N471" s="121"/>
      <c r="O471" s="121"/>
      <c r="P471" s="121">
        <f t="shared" si="717"/>
        <v>492158.32341085264</v>
      </c>
      <c r="Q471" s="121">
        <f t="shared" si="718"/>
        <v>-282851.09860465111</v>
      </c>
      <c r="R471" s="121">
        <f t="shared" si="714"/>
        <v>889800.48520130641</v>
      </c>
      <c r="S471" s="626">
        <f t="shared" si="719"/>
        <v>114791.06318579573</v>
      </c>
      <c r="T471" s="121">
        <f t="shared" si="711"/>
        <v>1418522.2143234741</v>
      </c>
      <c r="U471" s="121">
        <f t="shared" si="712"/>
        <v>776443.85114146117</v>
      </c>
      <c r="Y471" s="25"/>
    </row>
    <row r="472" spans="4:25">
      <c r="D472" s="48">
        <f t="shared" si="720"/>
        <v>139976.51666666666</v>
      </c>
      <c r="I472" s="668">
        <v>39078</v>
      </c>
      <c r="J472" s="751">
        <f t="shared" si="715"/>
        <v>137712</v>
      </c>
      <c r="K472" s="121">
        <f t="shared" si="716"/>
        <v>54807</v>
      </c>
      <c r="L472" s="121">
        <f t="shared" si="713"/>
        <v>505163.25828698475</v>
      </c>
      <c r="M472" s="121"/>
      <c r="N472" s="121"/>
      <c r="O472" s="121"/>
      <c r="P472" s="121">
        <f t="shared" si="717"/>
        <v>492158.32341085264</v>
      </c>
      <c r="Q472" s="121">
        <f t="shared" si="718"/>
        <v>-282851.09860465111</v>
      </c>
      <c r="R472" s="121">
        <f t="shared" si="714"/>
        <v>892667.96929474361</v>
      </c>
      <c r="S472" s="626">
        <f t="shared" si="719"/>
        <v>117658.54727923288</v>
      </c>
      <c r="T472" s="121">
        <f t="shared" si="711"/>
        <v>1418522.2143234741</v>
      </c>
      <c r="U472" s="121">
        <f t="shared" si="712"/>
        <v>776443.85114146117</v>
      </c>
      <c r="Y472" s="25"/>
    </row>
    <row r="473" spans="4:25">
      <c r="D473" s="48">
        <f t="shared" si="720"/>
        <v>140487.81666666668</v>
      </c>
      <c r="I473" s="668">
        <v>39109</v>
      </c>
      <c r="J473" s="751">
        <f t="shared" si="715"/>
        <v>-39094</v>
      </c>
      <c r="K473" s="121">
        <f t="shared" si="716"/>
        <v>176806</v>
      </c>
      <c r="L473" s="121">
        <f t="shared" si="713"/>
        <v>508030.7423804219</v>
      </c>
      <c r="M473" s="121"/>
      <c r="N473" s="121"/>
      <c r="O473" s="121"/>
      <c r="P473" s="121">
        <f t="shared" si="717"/>
        <v>492158.32341085264</v>
      </c>
      <c r="Q473" s="121">
        <f t="shared" si="718"/>
        <v>-282851.09860465111</v>
      </c>
      <c r="R473" s="121">
        <f t="shared" si="714"/>
        <v>895535.45338818082</v>
      </c>
      <c r="S473" s="626">
        <f t="shared" si="719"/>
        <v>120526.03137267003</v>
      </c>
      <c r="T473" s="121">
        <f t="shared" si="711"/>
        <v>1418522.2143234741</v>
      </c>
      <c r="U473" s="121">
        <f t="shared" si="712"/>
        <v>776443.85114146117</v>
      </c>
      <c r="Y473" s="25"/>
    </row>
    <row r="474" spans="4:25">
      <c r="D474" s="48">
        <f t="shared" si="720"/>
        <v>139362.61666666667</v>
      </c>
      <c r="I474" s="668">
        <v>39140</v>
      </c>
      <c r="J474" s="751">
        <f t="shared" si="715"/>
        <v>12074</v>
      </c>
      <c r="K474" s="121">
        <f t="shared" si="716"/>
        <v>51168</v>
      </c>
      <c r="L474" s="121">
        <f t="shared" si="713"/>
        <v>510898.22647385905</v>
      </c>
      <c r="M474" s="121"/>
      <c r="N474" s="121"/>
      <c r="O474" s="121"/>
      <c r="P474" s="121">
        <f t="shared" si="717"/>
        <v>492158.32341085264</v>
      </c>
      <c r="Q474" s="121">
        <f t="shared" si="718"/>
        <v>-282851.09860465111</v>
      </c>
      <c r="R474" s="121">
        <f t="shared" si="714"/>
        <v>898402.93748161802</v>
      </c>
      <c r="S474" s="626">
        <f t="shared" si="719"/>
        <v>123393.51546610717</v>
      </c>
      <c r="T474" s="121">
        <f t="shared" si="711"/>
        <v>1418522.2143234741</v>
      </c>
      <c r="U474" s="121">
        <f t="shared" si="712"/>
        <v>776443.85114146117</v>
      </c>
      <c r="Y474" s="25"/>
    </row>
    <row r="475" spans="4:25">
      <c r="D475" s="48">
        <f t="shared" si="720"/>
        <v>141740.45000000001</v>
      </c>
      <c r="I475" s="668">
        <v>39168</v>
      </c>
      <c r="J475" s="751">
        <f t="shared" si="715"/>
        <v>141549</v>
      </c>
      <c r="K475" s="121">
        <f t="shared" si="716"/>
        <v>129475</v>
      </c>
      <c r="L475" s="121">
        <f t="shared" si="713"/>
        <v>513765.71056729619</v>
      </c>
      <c r="M475" s="121"/>
      <c r="N475" s="121"/>
      <c r="O475" s="121"/>
      <c r="P475" s="121">
        <f t="shared" si="717"/>
        <v>492158.32341085264</v>
      </c>
      <c r="Q475" s="121">
        <f t="shared" si="718"/>
        <v>-282851.09860465111</v>
      </c>
      <c r="R475" s="121">
        <f t="shared" si="714"/>
        <v>901270.42157505522</v>
      </c>
      <c r="S475" s="626">
        <f t="shared" ref="S475:S484" si="721">L475-$B$491*1.88</f>
        <v>126260.99955954432</v>
      </c>
      <c r="T475" s="121">
        <f t="shared" si="711"/>
        <v>1418522.2143234741</v>
      </c>
      <c r="U475" s="121">
        <f t="shared" si="712"/>
        <v>776443.85114146117</v>
      </c>
      <c r="Y475" s="25"/>
    </row>
    <row r="476" spans="4:25">
      <c r="D476" s="48">
        <f t="shared" si="720"/>
        <v>146012.18333333332</v>
      </c>
      <c r="I476" s="668">
        <v>39199</v>
      </c>
      <c r="J476" s="751">
        <f t="shared" si="715"/>
        <v>266189</v>
      </c>
      <c r="K476" s="121">
        <f t="shared" si="716"/>
        <v>124640</v>
      </c>
      <c r="L476" s="121">
        <f t="shared" si="713"/>
        <v>516633.19466073334</v>
      </c>
      <c r="M476" s="121"/>
      <c r="N476" s="121"/>
      <c r="O476" s="121"/>
      <c r="P476" s="121">
        <f t="shared" si="717"/>
        <v>492158.32341085264</v>
      </c>
      <c r="Q476" s="121">
        <f t="shared" si="718"/>
        <v>-282851.09860465111</v>
      </c>
      <c r="R476" s="121">
        <f t="shared" si="714"/>
        <v>904137.90566849243</v>
      </c>
      <c r="S476" s="626">
        <f t="shared" si="721"/>
        <v>129128.48365298146</v>
      </c>
      <c r="T476" s="121">
        <f t="shared" si="711"/>
        <v>1418522.2143234741</v>
      </c>
      <c r="U476" s="121">
        <f t="shared" si="712"/>
        <v>776443.85114146117</v>
      </c>
      <c r="Y476" s="25"/>
    </row>
    <row r="477" spans="4:25">
      <c r="D477" s="48">
        <f t="shared" si="720"/>
        <v>151710.79999999999</v>
      </c>
      <c r="I477" s="668">
        <v>39229</v>
      </c>
      <c r="J477" s="751">
        <f t="shared" si="715"/>
        <v>559632</v>
      </c>
      <c r="K477" s="121">
        <f t="shared" si="716"/>
        <v>293443</v>
      </c>
      <c r="L477" s="121">
        <f t="shared" si="713"/>
        <v>519500.67875417048</v>
      </c>
      <c r="M477" s="121"/>
      <c r="N477" s="121"/>
      <c r="O477" s="121"/>
      <c r="P477" s="121">
        <f t="shared" si="717"/>
        <v>492158.32341085264</v>
      </c>
      <c r="Q477" s="121">
        <f t="shared" si="718"/>
        <v>-282851.09860465111</v>
      </c>
      <c r="R477" s="121">
        <f t="shared" si="714"/>
        <v>907005.38976192963</v>
      </c>
      <c r="S477" s="626">
        <f t="shared" si="721"/>
        <v>131995.96774641861</v>
      </c>
      <c r="T477" s="121">
        <f t="shared" si="711"/>
        <v>1418522.2143234741</v>
      </c>
      <c r="U477" s="121">
        <f t="shared" si="712"/>
        <v>776443.85114146117</v>
      </c>
      <c r="Y477" s="25"/>
    </row>
    <row r="478" spans="4:25">
      <c r="D478" s="48">
        <f t="shared" si="720"/>
        <v>159238.73333333334</v>
      </c>
      <c r="I478" s="668">
        <v>39260</v>
      </c>
      <c r="J478" s="751">
        <f t="shared" si="715"/>
        <v>425432</v>
      </c>
      <c r="K478" s="121">
        <f t="shared" si="716"/>
        <v>134200</v>
      </c>
      <c r="L478" s="121">
        <f t="shared" si="713"/>
        <v>522368.16284760763</v>
      </c>
      <c r="M478" s="121"/>
      <c r="N478" s="121"/>
      <c r="O478" s="121"/>
      <c r="P478" s="121">
        <f t="shared" si="717"/>
        <v>492158.32341085264</v>
      </c>
      <c r="Q478" s="121">
        <f t="shared" si="718"/>
        <v>-282851.09860465111</v>
      </c>
      <c r="R478" s="121">
        <f t="shared" si="714"/>
        <v>909872.87385536684</v>
      </c>
      <c r="S478" s="626">
        <f t="shared" si="721"/>
        <v>134863.45183985576</v>
      </c>
      <c r="T478" s="121">
        <f t="shared" si="711"/>
        <v>1418522.2143234741</v>
      </c>
      <c r="U478" s="121">
        <f t="shared" si="712"/>
        <v>776443.85114146117</v>
      </c>
      <c r="Y478" s="25"/>
    </row>
    <row r="479" spans="4:25">
      <c r="D479" s="48">
        <f t="shared" si="720"/>
        <v>163686.81666666668</v>
      </c>
      <c r="I479" s="668">
        <v>39290</v>
      </c>
      <c r="J479" s="751">
        <f t="shared" si="715"/>
        <v>156597</v>
      </c>
      <c r="K479" s="121">
        <f t="shared" si="716"/>
        <v>268835</v>
      </c>
      <c r="L479" s="121">
        <f t="shared" si="713"/>
        <v>525235.64694104483</v>
      </c>
      <c r="M479" s="121"/>
      <c r="N479" s="121"/>
      <c r="O479" s="121"/>
      <c r="P479" s="121">
        <f t="shared" si="717"/>
        <v>492158.32341085264</v>
      </c>
      <c r="Q479" s="121">
        <f t="shared" si="718"/>
        <v>-282851.09860465111</v>
      </c>
      <c r="R479" s="121">
        <f t="shared" si="714"/>
        <v>912740.35794880404</v>
      </c>
      <c r="S479" s="626">
        <f t="shared" si="721"/>
        <v>137730.93593329296</v>
      </c>
      <c r="T479" s="121">
        <f t="shared" si="711"/>
        <v>1418522.2143234741</v>
      </c>
      <c r="U479" s="121">
        <f t="shared" si="712"/>
        <v>776443.85114146117</v>
      </c>
      <c r="Y479" s="25"/>
    </row>
    <row r="480" spans="4:25">
      <c r="D480" s="48">
        <f t="shared" si="720"/>
        <v>175371.06666666668</v>
      </c>
      <c r="I480" s="668">
        <v>39321</v>
      </c>
      <c r="J480" s="751">
        <f t="shared" si="715"/>
        <v>598697</v>
      </c>
      <c r="K480" s="121">
        <f t="shared" si="716"/>
        <v>442100</v>
      </c>
      <c r="L480" s="121">
        <f t="shared" si="713"/>
        <v>528103.13103448204</v>
      </c>
      <c r="M480" s="121"/>
      <c r="N480" s="121"/>
      <c r="O480" s="121"/>
      <c r="P480" s="121">
        <f t="shared" si="717"/>
        <v>492158.32341085264</v>
      </c>
      <c r="Q480" s="121">
        <f t="shared" si="718"/>
        <v>-282851.09860465111</v>
      </c>
      <c r="R480" s="121">
        <f t="shared" si="714"/>
        <v>915607.84204224125</v>
      </c>
      <c r="S480" s="626">
        <f t="shared" si="721"/>
        <v>140598.42002673016</v>
      </c>
      <c r="T480" s="121">
        <f t="shared" si="711"/>
        <v>1418522.2143234741</v>
      </c>
      <c r="U480" s="121">
        <f t="shared" si="712"/>
        <v>776443.85114146117</v>
      </c>
      <c r="Y480" s="25"/>
    </row>
    <row r="481" spans="1:25">
      <c r="I481" s="668">
        <v>39352</v>
      </c>
      <c r="J481" s="751">
        <f t="shared" si="715"/>
        <v>241276</v>
      </c>
      <c r="K481" s="121">
        <f t="shared" si="716"/>
        <v>357421</v>
      </c>
      <c r="L481" s="121">
        <f t="shared" si="713"/>
        <v>530970.61512791924</v>
      </c>
      <c r="M481" s="121"/>
      <c r="N481" s="121"/>
      <c r="O481" s="121"/>
      <c r="P481" s="121">
        <f t="shared" si="717"/>
        <v>492158.32341085264</v>
      </c>
      <c r="Q481" s="121">
        <f t="shared" si="718"/>
        <v>-282851.09860465111</v>
      </c>
      <c r="R481" s="121">
        <f t="shared" si="714"/>
        <v>918475.32613567845</v>
      </c>
      <c r="S481" s="626">
        <f t="shared" si="721"/>
        <v>143465.90412016737</v>
      </c>
      <c r="T481" s="121">
        <f t="shared" si="711"/>
        <v>1418522.2143234741</v>
      </c>
      <c r="U481" s="121">
        <f t="shared" si="712"/>
        <v>776443.85114146117</v>
      </c>
      <c r="Y481" s="25"/>
    </row>
    <row r="482" spans="1:25">
      <c r="I482" s="668">
        <v>39382</v>
      </c>
      <c r="J482" s="751">
        <f t="shared" si="715"/>
        <v>128161</v>
      </c>
      <c r="K482" s="121">
        <f t="shared" si="716"/>
        <v>113115</v>
      </c>
      <c r="L482" s="121">
        <f t="shared" si="713"/>
        <v>533838.09922135645</v>
      </c>
      <c r="M482" s="121"/>
      <c r="N482" s="121"/>
      <c r="O482" s="121"/>
      <c r="P482" s="121">
        <f t="shared" si="717"/>
        <v>492158.32341085264</v>
      </c>
      <c r="Q482" s="121">
        <f t="shared" si="718"/>
        <v>-282851.09860465111</v>
      </c>
      <c r="R482" s="121">
        <f t="shared" si="714"/>
        <v>921342.81022911565</v>
      </c>
      <c r="S482" s="626">
        <f t="shared" si="721"/>
        <v>146333.38821360457</v>
      </c>
      <c r="T482" s="121">
        <f t="shared" si="711"/>
        <v>1418522.2143234741</v>
      </c>
      <c r="U482" s="121">
        <f t="shared" si="712"/>
        <v>776443.85114146117</v>
      </c>
      <c r="Y482" s="25"/>
    </row>
    <row r="483" spans="1:25">
      <c r="I483" s="668">
        <v>39413</v>
      </c>
      <c r="J483" s="751">
        <f t="shared" si="715"/>
        <v>133417</v>
      </c>
      <c r="K483" s="121">
        <f t="shared" si="716"/>
        <v>5256</v>
      </c>
      <c r="L483" s="121">
        <f t="shared" si="713"/>
        <v>536705.58331479365</v>
      </c>
      <c r="M483" s="121"/>
      <c r="N483" s="121"/>
      <c r="O483" s="121"/>
      <c r="P483" s="121">
        <f t="shared" si="717"/>
        <v>492158.32341085264</v>
      </c>
      <c r="Q483" s="121">
        <f t="shared" si="718"/>
        <v>-282851.09860465111</v>
      </c>
      <c r="R483" s="121">
        <f t="shared" si="714"/>
        <v>924210.29432255286</v>
      </c>
      <c r="S483" s="626">
        <f t="shared" si="721"/>
        <v>149200.87230704178</v>
      </c>
      <c r="T483" s="121">
        <f t="shared" si="711"/>
        <v>1418522.2143234741</v>
      </c>
      <c r="U483" s="121">
        <f t="shared" si="712"/>
        <v>776443.85114146117</v>
      </c>
      <c r="Y483" s="25"/>
    </row>
    <row r="484" spans="1:25">
      <c r="I484" s="668">
        <v>39443</v>
      </c>
      <c r="J484" s="751">
        <f t="shared" si="715"/>
        <v>-678217</v>
      </c>
      <c r="K484" s="121">
        <f t="shared" si="716"/>
        <v>811634</v>
      </c>
      <c r="L484" s="121">
        <f t="shared" si="713"/>
        <v>539573.06740823085</v>
      </c>
      <c r="M484" s="121"/>
      <c r="N484" s="121"/>
      <c r="O484" s="121"/>
      <c r="P484" s="121">
        <f t="shared" si="717"/>
        <v>492158.32341085264</v>
      </c>
      <c r="Q484" s="121">
        <f t="shared" si="718"/>
        <v>-282851.09860465111</v>
      </c>
      <c r="R484" s="121">
        <f t="shared" si="714"/>
        <v>927077.77841599006</v>
      </c>
      <c r="S484" s="626">
        <f t="shared" si="721"/>
        <v>152068.35640047898</v>
      </c>
      <c r="T484" s="121">
        <f t="shared" si="711"/>
        <v>1418522.2143234741</v>
      </c>
      <c r="U484" s="121">
        <f t="shared" si="712"/>
        <v>776443.85114146117</v>
      </c>
      <c r="Y484" s="25"/>
    </row>
    <row r="485" spans="1:25">
      <c r="I485" s="668">
        <v>39474</v>
      </c>
      <c r="J485" s="751">
        <f t="shared" ref="J485:J509" si="722">C291</f>
        <v>-270510</v>
      </c>
      <c r="K485" s="121">
        <f t="shared" ref="K485:K509" si="723">L291</f>
        <v>407707</v>
      </c>
      <c r="L485" s="121">
        <f t="shared" si="713"/>
        <v>542440.55150166806</v>
      </c>
      <c r="M485" s="121"/>
      <c r="N485" s="121"/>
      <c r="O485" s="121"/>
      <c r="P485" s="121">
        <f t="shared" si="717"/>
        <v>492158.32341085264</v>
      </c>
      <c r="Q485" s="121">
        <f t="shared" si="718"/>
        <v>-282851.09860465111</v>
      </c>
      <c r="R485" s="121">
        <f t="shared" si="714"/>
        <v>929945.26250942727</v>
      </c>
      <c r="S485" s="626">
        <f t="shared" ref="S485:S509" si="724">L485-$B$491*1.88</f>
        <v>154935.84049391618</v>
      </c>
      <c r="T485" s="121">
        <f t="shared" si="711"/>
        <v>1418522.2143234741</v>
      </c>
      <c r="U485" s="121">
        <f t="shared" si="712"/>
        <v>776443.85114146117</v>
      </c>
      <c r="Y485" s="25"/>
    </row>
    <row r="486" spans="1:25">
      <c r="I486" s="668">
        <v>39505</v>
      </c>
      <c r="J486" s="751">
        <f t="shared" si="722"/>
        <v>-260145</v>
      </c>
      <c r="K486" s="121">
        <f t="shared" si="723"/>
        <v>10365</v>
      </c>
      <c r="L486" s="121">
        <f t="shared" si="713"/>
        <v>545308.03559510526</v>
      </c>
      <c r="M486" s="121"/>
      <c r="N486" s="121"/>
      <c r="O486" s="121"/>
      <c r="P486" s="121">
        <f t="shared" si="717"/>
        <v>492158.32341085264</v>
      </c>
      <c r="Q486" s="121">
        <f t="shared" si="718"/>
        <v>-282851.09860465111</v>
      </c>
      <c r="R486" s="121">
        <f t="shared" si="714"/>
        <v>932812.74660286447</v>
      </c>
      <c r="S486" s="626">
        <f t="shared" si="724"/>
        <v>157803.32458735339</v>
      </c>
      <c r="T486" s="121">
        <f t="shared" si="711"/>
        <v>1418522.2143234741</v>
      </c>
      <c r="U486" s="121">
        <f t="shared" si="712"/>
        <v>776443.85114146117</v>
      </c>
      <c r="Y486" s="25"/>
    </row>
    <row r="487" spans="1:25">
      <c r="I487" s="668">
        <v>39534</v>
      </c>
      <c r="J487" s="751">
        <f t="shared" si="722"/>
        <v>-347547</v>
      </c>
      <c r="K487" s="121">
        <f t="shared" si="723"/>
        <v>87402</v>
      </c>
      <c r="L487" s="121">
        <f t="shared" si="713"/>
        <v>548175.51968854247</v>
      </c>
      <c r="M487" s="121"/>
      <c r="N487" s="121"/>
      <c r="O487" s="121"/>
      <c r="P487" s="121">
        <f t="shared" si="717"/>
        <v>492158.32341085264</v>
      </c>
      <c r="Q487" s="121">
        <f t="shared" si="718"/>
        <v>-282851.09860465111</v>
      </c>
      <c r="R487" s="121">
        <f t="shared" si="714"/>
        <v>935680.23069630167</v>
      </c>
      <c r="S487" s="626">
        <f t="shared" si="724"/>
        <v>160670.80868079059</v>
      </c>
      <c r="T487" s="121">
        <f t="shared" si="711"/>
        <v>1418522.2143234741</v>
      </c>
      <c r="U487" s="121">
        <f t="shared" si="712"/>
        <v>776443.85114146117</v>
      </c>
      <c r="Y487" s="25"/>
    </row>
    <row r="488" spans="1:25">
      <c r="I488" s="668">
        <v>39565</v>
      </c>
      <c r="J488" s="751">
        <f t="shared" si="722"/>
        <v>-268713</v>
      </c>
      <c r="K488" s="121">
        <f t="shared" si="723"/>
        <v>78834</v>
      </c>
      <c r="L488" s="121">
        <f t="shared" si="713"/>
        <v>551043.00378197967</v>
      </c>
      <c r="M488" s="121"/>
      <c r="N488" s="121"/>
      <c r="O488" s="121"/>
      <c r="P488" s="121">
        <f t="shared" si="717"/>
        <v>492158.32341085264</v>
      </c>
      <c r="Q488" s="121">
        <f t="shared" si="718"/>
        <v>-282851.09860465111</v>
      </c>
      <c r="R488" s="121">
        <f t="shared" si="714"/>
        <v>938547.71478973888</v>
      </c>
      <c r="S488" s="626">
        <f t="shared" si="724"/>
        <v>163538.2927742278</v>
      </c>
      <c r="T488" s="121">
        <f t="shared" si="711"/>
        <v>1418522.2143234741</v>
      </c>
      <c r="U488" s="121">
        <f t="shared" si="712"/>
        <v>776443.85114146117</v>
      </c>
      <c r="Y488" s="25"/>
    </row>
    <row r="489" spans="1:25">
      <c r="A489" s="358" t="s">
        <v>1017</v>
      </c>
      <c r="B489" s="358" t="s">
        <v>1017</v>
      </c>
      <c r="C489" s="674" t="s">
        <v>240</v>
      </c>
      <c r="D489" s="25"/>
      <c r="E489" s="25"/>
      <c r="F489" s="95" t="s">
        <v>1376</v>
      </c>
      <c r="G489" s="95" t="s">
        <v>1536</v>
      </c>
      <c r="H489" s="95"/>
      <c r="I489" s="668">
        <v>39595</v>
      </c>
      <c r="J489" s="751">
        <f t="shared" si="722"/>
        <v>429860</v>
      </c>
      <c r="K489" s="121">
        <f t="shared" si="723"/>
        <v>698573</v>
      </c>
      <c r="L489" s="121">
        <f t="shared" si="713"/>
        <v>553910.48787541687</v>
      </c>
      <c r="M489" s="121"/>
      <c r="N489" s="121"/>
      <c r="O489" s="121"/>
      <c r="P489" s="121">
        <f t="shared" si="717"/>
        <v>492158.32341085264</v>
      </c>
      <c r="Q489" s="121">
        <f t="shared" si="718"/>
        <v>-282851.09860465111</v>
      </c>
      <c r="R489" s="121">
        <f t="shared" si="714"/>
        <v>941415.19888317608</v>
      </c>
      <c r="S489" s="626">
        <f t="shared" si="724"/>
        <v>166405.776867665</v>
      </c>
      <c r="T489" s="121">
        <f t="shared" si="711"/>
        <v>1418522.2143234741</v>
      </c>
      <c r="U489" s="121">
        <f t="shared" si="712"/>
        <v>776443.85114146117</v>
      </c>
      <c r="Y489" s="25"/>
    </row>
    <row r="490" spans="1:25">
      <c r="A490" s="358" t="s">
        <v>341</v>
      </c>
      <c r="B490" s="678" t="s">
        <v>1012</v>
      </c>
      <c r="C490" s="71" t="s">
        <v>1535</v>
      </c>
      <c r="D490" s="25"/>
      <c r="E490" s="25"/>
      <c r="F490" s="48">
        <f>R453-R452</f>
        <v>2867.4840934372041</v>
      </c>
      <c r="G490" s="48">
        <f>S340-S339</f>
        <v>2867.4840934371459</v>
      </c>
      <c r="I490" s="668">
        <v>39626</v>
      </c>
      <c r="J490" s="751">
        <f t="shared" si="722"/>
        <v>218642</v>
      </c>
      <c r="K490" s="121">
        <f t="shared" si="723"/>
        <v>211218</v>
      </c>
      <c r="L490" s="121">
        <f t="shared" si="713"/>
        <v>556777.97196885408</v>
      </c>
      <c r="M490" s="121"/>
      <c r="N490" s="121"/>
      <c r="O490" s="121"/>
      <c r="P490" s="121">
        <f t="shared" si="717"/>
        <v>492158.32341085264</v>
      </c>
      <c r="Q490" s="121">
        <f t="shared" si="718"/>
        <v>-282851.09860465111</v>
      </c>
      <c r="R490" s="121">
        <f t="shared" si="714"/>
        <v>944282.68297661329</v>
      </c>
      <c r="S490" s="626">
        <f t="shared" si="724"/>
        <v>169273.26096110221</v>
      </c>
      <c r="T490" s="121">
        <f t="shared" si="711"/>
        <v>1418522.2143234741</v>
      </c>
      <c r="U490" s="121">
        <f t="shared" si="712"/>
        <v>776443.85114146117</v>
      </c>
      <c r="Y490" s="25"/>
    </row>
    <row r="491" spans="1:25">
      <c r="A491" s="48">
        <f>AVERAGE(J326:J454)</f>
        <v>104653.61240310078</v>
      </c>
      <c r="B491" s="48">
        <f>AVERAGE(K326:K454)</f>
        <v>206119.52713178293</v>
      </c>
      <c r="C491" s="48">
        <f>L340-L339</f>
        <v>2867.4840934371459</v>
      </c>
      <c r="I491" s="668">
        <v>39656</v>
      </c>
      <c r="J491" s="751">
        <f t="shared" si="722"/>
        <v>10771</v>
      </c>
      <c r="K491" s="121">
        <f t="shared" si="723"/>
        <v>207871</v>
      </c>
      <c r="L491" s="121">
        <f t="shared" si="713"/>
        <v>559645.45606229128</v>
      </c>
      <c r="M491" s="121"/>
      <c r="N491" s="121"/>
      <c r="O491" s="121"/>
      <c r="P491" s="121">
        <f t="shared" si="717"/>
        <v>492158.32341085264</v>
      </c>
      <c r="Q491" s="121">
        <f t="shared" si="718"/>
        <v>-282851.09860465111</v>
      </c>
      <c r="R491" s="121">
        <f t="shared" si="714"/>
        <v>947150.16707005049</v>
      </c>
      <c r="S491" s="626">
        <f t="shared" si="724"/>
        <v>172140.74505453941</v>
      </c>
      <c r="T491" s="121">
        <f t="shared" si="711"/>
        <v>1418522.2143234741</v>
      </c>
      <c r="U491" s="121">
        <f t="shared" si="712"/>
        <v>776443.85114146117</v>
      </c>
      <c r="Y491" s="25"/>
    </row>
    <row r="492" spans="1:25">
      <c r="I492" s="668">
        <v>39687</v>
      </c>
      <c r="J492" s="751">
        <f t="shared" si="722"/>
        <v>400088</v>
      </c>
      <c r="K492" s="121">
        <f t="shared" si="723"/>
        <v>389317</v>
      </c>
      <c r="L492" s="121">
        <f t="shared" si="713"/>
        <v>562512.94015572849</v>
      </c>
      <c r="M492" s="121"/>
      <c r="N492" s="121"/>
      <c r="O492" s="121"/>
      <c r="P492" s="121">
        <f t="shared" si="717"/>
        <v>492158.32341085264</v>
      </c>
      <c r="Q492" s="121">
        <f t="shared" si="718"/>
        <v>-282851.09860465111</v>
      </c>
      <c r="R492" s="121">
        <f t="shared" si="714"/>
        <v>950017.6511634877</v>
      </c>
      <c r="S492" s="626">
        <f t="shared" si="724"/>
        <v>175008.22914797661</v>
      </c>
      <c r="T492" s="121">
        <f t="shared" si="711"/>
        <v>1418522.2143234741</v>
      </c>
      <c r="U492" s="121">
        <f t="shared" si="712"/>
        <v>776443.85114146117</v>
      </c>
      <c r="Y492" s="25"/>
    </row>
    <row r="493" spans="1:25">
      <c r="I493" s="668">
        <v>39718</v>
      </c>
      <c r="J493" s="751">
        <f t="shared" si="722"/>
        <v>-244827</v>
      </c>
      <c r="K493" s="121">
        <f t="shared" si="723"/>
        <v>644915</v>
      </c>
      <c r="L493" s="121">
        <f t="shared" si="713"/>
        <v>565380.42424916569</v>
      </c>
      <c r="M493" s="121"/>
      <c r="N493" s="121"/>
      <c r="O493" s="121"/>
      <c r="P493" s="121">
        <f t="shared" si="717"/>
        <v>492158.32341085264</v>
      </c>
      <c r="Q493" s="121">
        <f t="shared" si="718"/>
        <v>-282851.09860465111</v>
      </c>
      <c r="R493" s="121">
        <f t="shared" si="714"/>
        <v>952885.1352569249</v>
      </c>
      <c r="S493" s="626">
        <f t="shared" si="724"/>
        <v>177875.71324141382</v>
      </c>
      <c r="T493" s="121">
        <f t="shared" si="711"/>
        <v>1418522.2143234741</v>
      </c>
      <c r="U493" s="121">
        <f t="shared" si="712"/>
        <v>776443.85114146117</v>
      </c>
      <c r="Y493" s="25"/>
    </row>
    <row r="494" spans="1:25">
      <c r="I494" s="668">
        <v>39748</v>
      </c>
      <c r="J494" s="751">
        <f t="shared" si="722"/>
        <v>324540</v>
      </c>
      <c r="K494" s="121">
        <f t="shared" si="723"/>
        <v>569367</v>
      </c>
      <c r="L494" s="121">
        <f t="shared" si="713"/>
        <v>568247.9083426029</v>
      </c>
      <c r="M494" s="121"/>
      <c r="N494" s="121"/>
      <c r="O494" s="121"/>
      <c r="P494" s="121">
        <f t="shared" si="717"/>
        <v>492158.32341085264</v>
      </c>
      <c r="Q494" s="121">
        <f t="shared" si="718"/>
        <v>-282851.09860465111</v>
      </c>
      <c r="R494" s="121">
        <f t="shared" si="714"/>
        <v>955752.6193503621</v>
      </c>
      <c r="S494" s="626">
        <f t="shared" si="724"/>
        <v>180743.19733485102</v>
      </c>
      <c r="T494" s="121">
        <f t="shared" si="711"/>
        <v>1418522.2143234741</v>
      </c>
      <c r="U494" s="121">
        <f t="shared" si="712"/>
        <v>776443.85114146117</v>
      </c>
      <c r="Y494" s="25"/>
    </row>
    <row r="495" spans="1:25">
      <c r="I495" s="668">
        <v>39779</v>
      </c>
      <c r="J495" s="751">
        <f t="shared" si="722"/>
        <v>-130875</v>
      </c>
      <c r="K495" s="121">
        <f t="shared" si="723"/>
        <v>455415</v>
      </c>
      <c r="L495" s="121">
        <f t="shared" si="713"/>
        <v>571115.3924360401</v>
      </c>
      <c r="M495" s="121"/>
      <c r="N495" s="121"/>
      <c r="O495" s="121"/>
      <c r="P495" s="121">
        <f t="shared" si="717"/>
        <v>492158.32341085264</v>
      </c>
      <c r="Q495" s="121">
        <f t="shared" si="718"/>
        <v>-282851.09860465111</v>
      </c>
      <c r="R495" s="121">
        <f t="shared" si="714"/>
        <v>958620.10344379931</v>
      </c>
      <c r="S495" s="626">
        <f t="shared" si="724"/>
        <v>183610.68142828823</v>
      </c>
      <c r="T495" s="121">
        <f t="shared" si="711"/>
        <v>1418522.2143234741</v>
      </c>
      <c r="U495" s="121">
        <f t="shared" si="712"/>
        <v>776443.85114146117</v>
      </c>
      <c r="Y495" s="25"/>
    </row>
    <row r="496" spans="1:25">
      <c r="I496" s="668">
        <v>39809</v>
      </c>
      <c r="J496" s="751">
        <f t="shared" si="722"/>
        <v>196114</v>
      </c>
      <c r="K496" s="121">
        <f t="shared" si="723"/>
        <v>326989</v>
      </c>
      <c r="L496" s="121">
        <f t="shared" si="713"/>
        <v>573982.8765294773</v>
      </c>
      <c r="M496" s="121"/>
      <c r="N496" s="121"/>
      <c r="O496" s="121"/>
      <c r="P496" s="121">
        <f t="shared" si="717"/>
        <v>492158.32341085264</v>
      </c>
      <c r="Q496" s="121">
        <f t="shared" si="718"/>
        <v>-282851.09860465111</v>
      </c>
      <c r="R496" s="121">
        <f t="shared" si="714"/>
        <v>961487.58753723651</v>
      </c>
      <c r="S496" s="626">
        <f t="shared" si="724"/>
        <v>186478.16552172543</v>
      </c>
      <c r="T496" s="121">
        <f t="shared" si="711"/>
        <v>1418522.2143234741</v>
      </c>
      <c r="U496" s="121">
        <f t="shared" si="712"/>
        <v>776443.85114146117</v>
      </c>
      <c r="Y496" s="25"/>
    </row>
    <row r="497" spans="9:25">
      <c r="I497" s="668">
        <v>39840</v>
      </c>
      <c r="J497" s="751">
        <f t="shared" si="722"/>
        <v>-156870</v>
      </c>
      <c r="K497" s="121">
        <f t="shared" si="723"/>
        <v>352984</v>
      </c>
      <c r="L497" s="121">
        <f t="shared" si="713"/>
        <v>576850.36062291451</v>
      </c>
      <c r="M497" s="121"/>
      <c r="N497" s="121"/>
      <c r="O497" s="121"/>
      <c r="P497" s="121">
        <f t="shared" si="717"/>
        <v>492158.32341085264</v>
      </c>
      <c r="Q497" s="121">
        <f t="shared" si="718"/>
        <v>-282851.09860465111</v>
      </c>
      <c r="R497" s="121">
        <f t="shared" si="714"/>
        <v>964355.07163067372</v>
      </c>
      <c r="S497" s="626">
        <f t="shared" si="724"/>
        <v>189345.64961516263</v>
      </c>
      <c r="T497" s="121">
        <f t="shared" si="711"/>
        <v>1418522.2143234741</v>
      </c>
      <c r="U497" s="121">
        <f t="shared" si="712"/>
        <v>776443.85114146117</v>
      </c>
      <c r="Y497" s="25"/>
    </row>
    <row r="498" spans="9:25">
      <c r="I498" s="668">
        <v>39871</v>
      </c>
      <c r="J498" s="751">
        <f t="shared" si="722"/>
        <v>-115365</v>
      </c>
      <c r="K498" s="121">
        <f t="shared" si="723"/>
        <v>41505</v>
      </c>
      <c r="L498" s="121">
        <f t="shared" si="713"/>
        <v>579717.84471635171</v>
      </c>
      <c r="M498" s="121"/>
      <c r="N498" s="121"/>
      <c r="O498" s="121"/>
      <c r="P498" s="121">
        <f t="shared" si="717"/>
        <v>492158.32341085264</v>
      </c>
      <c r="Q498" s="121">
        <f t="shared" si="718"/>
        <v>-282851.09860465111</v>
      </c>
      <c r="R498" s="121">
        <f t="shared" si="714"/>
        <v>967222.55572411092</v>
      </c>
      <c r="S498" s="626">
        <f t="shared" si="724"/>
        <v>192213.13370859984</v>
      </c>
      <c r="T498" s="121">
        <f t="shared" si="711"/>
        <v>1418522.2143234741</v>
      </c>
      <c r="U498" s="121">
        <f t="shared" si="712"/>
        <v>776443.85114146117</v>
      </c>
      <c r="Y498" s="25"/>
    </row>
    <row r="499" spans="9:25">
      <c r="I499" s="668">
        <v>39899</v>
      </c>
      <c r="J499" s="751">
        <f t="shared" si="722"/>
        <v>-58604</v>
      </c>
      <c r="K499" s="121">
        <f t="shared" si="723"/>
        <v>56761</v>
      </c>
      <c r="L499" s="121">
        <f t="shared" si="713"/>
        <v>582585.32880978892</v>
      </c>
      <c r="M499" s="121"/>
      <c r="N499" s="121"/>
      <c r="O499" s="121"/>
      <c r="P499" s="121">
        <f t="shared" si="717"/>
        <v>492158.32341085264</v>
      </c>
      <c r="Q499" s="121">
        <f t="shared" si="718"/>
        <v>-282851.09860465111</v>
      </c>
      <c r="R499" s="121">
        <f t="shared" si="714"/>
        <v>970090.03981754812</v>
      </c>
      <c r="S499" s="626">
        <f t="shared" si="724"/>
        <v>195080.61780203704</v>
      </c>
      <c r="T499" s="121">
        <f t="shared" si="711"/>
        <v>1418522.2143234741</v>
      </c>
      <c r="U499" s="121">
        <f t="shared" si="712"/>
        <v>776443.85114146117</v>
      </c>
      <c r="Y499" s="25"/>
    </row>
    <row r="500" spans="9:25">
      <c r="I500" s="668">
        <v>39930</v>
      </c>
      <c r="J500" s="751">
        <f t="shared" si="722"/>
        <v>186018</v>
      </c>
      <c r="K500" s="121">
        <f t="shared" si="723"/>
        <v>244622</v>
      </c>
      <c r="L500" s="121">
        <f t="shared" si="713"/>
        <v>585452.81290322612</v>
      </c>
      <c r="M500" s="121"/>
      <c r="N500" s="121"/>
      <c r="O500" s="121"/>
      <c r="P500" s="121">
        <f t="shared" si="717"/>
        <v>492158.32341085264</v>
      </c>
      <c r="Q500" s="121">
        <f t="shared" si="718"/>
        <v>-282851.09860465111</v>
      </c>
      <c r="R500" s="121">
        <f t="shared" si="714"/>
        <v>972957.52391098533</v>
      </c>
      <c r="S500" s="626">
        <f t="shared" si="724"/>
        <v>197948.10189547425</v>
      </c>
      <c r="T500" s="121">
        <f t="shared" si="711"/>
        <v>1418522.2143234741</v>
      </c>
      <c r="U500" s="121">
        <f t="shared" si="712"/>
        <v>776443.85114146117</v>
      </c>
      <c r="Y500" s="25"/>
    </row>
    <row r="501" spans="9:25">
      <c r="I501" s="668">
        <v>39960</v>
      </c>
      <c r="J501" s="751">
        <f t="shared" si="722"/>
        <v>-141490</v>
      </c>
      <c r="K501" s="121">
        <f t="shared" si="723"/>
        <v>327508</v>
      </c>
      <c r="L501" s="121">
        <f t="shared" si="713"/>
        <v>588320.29699666332</v>
      </c>
      <c r="M501" s="121"/>
      <c r="N501" s="121"/>
      <c r="O501" s="121"/>
      <c r="P501" s="121">
        <f t="shared" si="717"/>
        <v>492158.32341085264</v>
      </c>
      <c r="Q501" s="121">
        <f t="shared" si="718"/>
        <v>-282851.09860465111</v>
      </c>
      <c r="R501" s="121">
        <f t="shared" si="714"/>
        <v>975825.00800442253</v>
      </c>
      <c r="S501" s="626">
        <f t="shared" si="724"/>
        <v>200815.58598891145</v>
      </c>
      <c r="T501" s="121">
        <f t="shared" si="711"/>
        <v>1418522.2143234741</v>
      </c>
      <c r="U501" s="121">
        <f t="shared" si="712"/>
        <v>776443.85114146117</v>
      </c>
      <c r="Y501" s="25"/>
    </row>
    <row r="502" spans="9:25">
      <c r="I502" s="668">
        <v>39991</v>
      </c>
      <c r="J502" s="751">
        <f t="shared" si="722"/>
        <v>63115</v>
      </c>
      <c r="K502" s="121">
        <f t="shared" si="723"/>
        <v>204605</v>
      </c>
      <c r="L502" s="121">
        <f t="shared" si="713"/>
        <v>591187.78109010053</v>
      </c>
      <c r="M502" s="121"/>
      <c r="N502" s="121"/>
      <c r="O502" s="121"/>
      <c r="P502" s="121">
        <f t="shared" si="717"/>
        <v>492158.32341085264</v>
      </c>
      <c r="Q502" s="121">
        <f t="shared" si="718"/>
        <v>-282851.09860465111</v>
      </c>
      <c r="R502" s="121">
        <f t="shared" si="714"/>
        <v>978692.49209785974</v>
      </c>
      <c r="S502" s="626">
        <f t="shared" si="724"/>
        <v>203683.07008234865</v>
      </c>
      <c r="T502" s="121">
        <f t="shared" si="711"/>
        <v>1418522.2143234741</v>
      </c>
      <c r="U502" s="121">
        <f t="shared" si="712"/>
        <v>776443.85114146117</v>
      </c>
      <c r="Y502" s="25"/>
    </row>
    <row r="503" spans="9:25">
      <c r="I503" s="668">
        <v>40021</v>
      </c>
      <c r="J503" s="751">
        <f t="shared" si="722"/>
        <v>57801</v>
      </c>
      <c r="K503" s="121">
        <f t="shared" si="723"/>
        <v>5314</v>
      </c>
      <c r="L503" s="121">
        <f t="shared" si="713"/>
        <v>594055.26518353773</v>
      </c>
      <c r="M503" s="121"/>
      <c r="N503" s="121"/>
      <c r="O503" s="121"/>
      <c r="P503" s="121">
        <f t="shared" si="717"/>
        <v>492158.32341085264</v>
      </c>
      <c r="Q503" s="121">
        <f t="shared" si="718"/>
        <v>-282851.09860465111</v>
      </c>
      <c r="R503" s="121">
        <f t="shared" si="714"/>
        <v>981559.97619129694</v>
      </c>
      <c r="S503" s="626">
        <f t="shared" si="724"/>
        <v>206550.55417578586</v>
      </c>
      <c r="T503" s="121">
        <f t="shared" si="711"/>
        <v>1418522.2143234741</v>
      </c>
      <c r="U503" s="121">
        <f t="shared" si="712"/>
        <v>776443.85114146117</v>
      </c>
      <c r="Y503" s="25"/>
    </row>
    <row r="504" spans="9:25">
      <c r="I504" s="668">
        <v>40052</v>
      </c>
      <c r="J504" s="751">
        <f t="shared" si="722"/>
        <v>15943</v>
      </c>
      <c r="K504" s="121">
        <f t="shared" si="723"/>
        <v>41858</v>
      </c>
      <c r="L504" s="121">
        <f t="shared" si="713"/>
        <v>596922.74927697494</v>
      </c>
      <c r="M504" s="121"/>
      <c r="N504" s="121"/>
      <c r="O504" s="121"/>
      <c r="P504" s="121">
        <f t="shared" si="717"/>
        <v>492158.32341085264</v>
      </c>
      <c r="Q504" s="121">
        <f t="shared" si="718"/>
        <v>-282851.09860465111</v>
      </c>
      <c r="R504" s="121">
        <f t="shared" si="714"/>
        <v>984427.46028473414</v>
      </c>
      <c r="S504" s="626">
        <f t="shared" si="724"/>
        <v>209418.03826922306</v>
      </c>
      <c r="T504" s="121">
        <f t="shared" si="711"/>
        <v>1418522.2143234741</v>
      </c>
      <c r="U504" s="121">
        <f t="shared" si="712"/>
        <v>776443.85114146117</v>
      </c>
      <c r="Y504" s="25"/>
    </row>
    <row r="505" spans="9:25">
      <c r="I505" s="668">
        <v>40083</v>
      </c>
      <c r="J505" s="751">
        <f t="shared" si="722"/>
        <v>496763</v>
      </c>
      <c r="K505" s="121">
        <f t="shared" si="723"/>
        <v>480820</v>
      </c>
      <c r="L505" s="121">
        <f t="shared" si="713"/>
        <v>599790.23337041214</v>
      </c>
      <c r="M505" s="121"/>
      <c r="N505" s="121"/>
      <c r="O505" s="121"/>
      <c r="P505" s="121">
        <f t="shared" si="717"/>
        <v>492158.32341085264</v>
      </c>
      <c r="Q505" s="121">
        <f t="shared" si="718"/>
        <v>-282851.09860465111</v>
      </c>
      <c r="R505" s="121">
        <f t="shared" si="714"/>
        <v>987294.94437817135</v>
      </c>
      <c r="S505" s="626">
        <f t="shared" si="724"/>
        <v>212285.52236266027</v>
      </c>
      <c r="T505" s="121">
        <f t="shared" si="711"/>
        <v>1418522.2143234741</v>
      </c>
      <c r="U505" s="121">
        <f t="shared" si="712"/>
        <v>776443.85114146117</v>
      </c>
      <c r="Y505" s="25"/>
    </row>
    <row r="506" spans="9:25">
      <c r="I506" s="668">
        <v>40113</v>
      </c>
      <c r="J506" s="751">
        <f t="shared" si="722"/>
        <v>225816</v>
      </c>
      <c r="K506" s="121">
        <f t="shared" si="723"/>
        <v>270947</v>
      </c>
      <c r="L506" s="121">
        <f t="shared" si="713"/>
        <v>602657.71746384935</v>
      </c>
      <c r="M506" s="121"/>
      <c r="N506" s="121"/>
      <c r="O506" s="121"/>
      <c r="P506" s="121">
        <f t="shared" si="717"/>
        <v>492158.32341085264</v>
      </c>
      <c r="Q506" s="121">
        <f t="shared" si="718"/>
        <v>-282851.09860465111</v>
      </c>
      <c r="R506" s="121">
        <f t="shared" si="714"/>
        <v>990162.42847160855</v>
      </c>
      <c r="S506" s="626">
        <f t="shared" si="724"/>
        <v>215153.00645609747</v>
      </c>
      <c r="T506" s="121">
        <f t="shared" si="711"/>
        <v>1418522.2143234741</v>
      </c>
      <c r="U506" s="121">
        <f t="shared" si="712"/>
        <v>776443.85114146117</v>
      </c>
      <c r="Y506" s="25"/>
    </row>
    <row r="507" spans="9:25">
      <c r="I507" s="668">
        <v>40144</v>
      </c>
      <c r="J507" s="751">
        <f t="shared" si="722"/>
        <v>0</v>
      </c>
      <c r="K507" s="121">
        <f t="shared" si="723"/>
        <v>225816</v>
      </c>
      <c r="L507" s="121">
        <f t="shared" si="713"/>
        <v>605525.20155728655</v>
      </c>
      <c r="M507" s="121"/>
      <c r="N507" s="121"/>
      <c r="O507" s="121"/>
      <c r="P507" s="121">
        <f t="shared" si="717"/>
        <v>492158.32341085264</v>
      </c>
      <c r="Q507" s="121">
        <f t="shared" si="718"/>
        <v>-282851.09860465111</v>
      </c>
      <c r="R507" s="121">
        <f t="shared" si="714"/>
        <v>993029.91256504576</v>
      </c>
      <c r="S507" s="626">
        <f t="shared" si="724"/>
        <v>218020.49054953468</v>
      </c>
      <c r="T507" s="121">
        <f t="shared" si="711"/>
        <v>1418522.2143234741</v>
      </c>
      <c r="U507" s="121">
        <f t="shared" si="712"/>
        <v>776443.85114146117</v>
      </c>
      <c r="Y507" s="25"/>
    </row>
    <row r="508" spans="9:25">
      <c r="I508" s="668">
        <v>40174</v>
      </c>
      <c r="J508" s="751">
        <f t="shared" si="722"/>
        <v>0</v>
      </c>
      <c r="K508" s="121">
        <f t="shared" si="723"/>
        <v>0</v>
      </c>
      <c r="L508" s="121">
        <f t="shared" si="713"/>
        <v>608392.68565072375</v>
      </c>
      <c r="M508" s="121"/>
      <c r="N508" s="121"/>
      <c r="O508" s="121"/>
      <c r="P508" s="121">
        <f t="shared" si="717"/>
        <v>492158.32341085264</v>
      </c>
      <c r="Q508" s="121">
        <f t="shared" si="718"/>
        <v>-282851.09860465111</v>
      </c>
      <c r="R508" s="121">
        <f t="shared" si="714"/>
        <v>995897.39665848296</v>
      </c>
      <c r="S508" s="626">
        <f t="shared" si="724"/>
        <v>220887.97464297188</v>
      </c>
      <c r="T508" s="121">
        <f t="shared" si="711"/>
        <v>1418522.2143234741</v>
      </c>
      <c r="U508" s="121">
        <f t="shared" si="712"/>
        <v>776443.85114146117</v>
      </c>
      <c r="Y508" s="25"/>
    </row>
    <row r="509" spans="9:25">
      <c r="I509" s="668">
        <v>40205</v>
      </c>
      <c r="J509" s="751">
        <f t="shared" si="722"/>
        <v>0</v>
      </c>
      <c r="K509" s="121">
        <f t="shared" si="723"/>
        <v>0</v>
      </c>
      <c r="L509" s="121">
        <f t="shared" si="713"/>
        <v>611260.16974416096</v>
      </c>
      <c r="M509" s="121"/>
      <c r="N509" s="121"/>
      <c r="O509" s="121"/>
      <c r="P509" s="121">
        <f t="shared" si="717"/>
        <v>492158.32341085264</v>
      </c>
      <c r="Q509" s="121">
        <f t="shared" si="718"/>
        <v>-282851.09860465111</v>
      </c>
      <c r="R509" s="121">
        <f t="shared" si="714"/>
        <v>998764.88075192017</v>
      </c>
      <c r="S509" s="626">
        <f t="shared" si="724"/>
        <v>223755.45873640908</v>
      </c>
      <c r="T509" s="121">
        <f t="shared" si="711"/>
        <v>1418522.2143234741</v>
      </c>
      <c r="U509" s="121">
        <f t="shared" si="712"/>
        <v>776443.85114146117</v>
      </c>
      <c r="Y509" s="25"/>
    </row>
    <row r="510" spans="9:25">
      <c r="Y510" s="25"/>
    </row>
    <row r="511" spans="9:25">
      <c r="Y511" s="25"/>
    </row>
    <row r="512" spans="9:25">
      <c r="Y512" s="25"/>
    </row>
    <row r="513" spans="25:25">
      <c r="Y513" s="25"/>
    </row>
    <row r="514" spans="25:25">
      <c r="Y514" s="25"/>
    </row>
    <row r="515" spans="25:25">
      <c r="Y515" s="25"/>
    </row>
    <row r="516" spans="25:25">
      <c r="Y516" s="25"/>
    </row>
    <row r="517" spans="25:25">
      <c r="Y517" s="25"/>
    </row>
    <row r="518" spans="25:25">
      <c r="Y518" s="25"/>
    </row>
    <row r="519" spans="25:25">
      <c r="Y519" s="25"/>
    </row>
    <row r="520" spans="25:25">
      <c r="Y520" s="25"/>
    </row>
    <row r="521" spans="25:25">
      <c r="Y521" s="25"/>
    </row>
    <row r="522" spans="25:25">
      <c r="Y522" s="25"/>
    </row>
    <row r="523" spans="25:25">
      <c r="Y523" s="25"/>
    </row>
    <row r="524" spans="25:25">
      <c r="Y524" s="25"/>
    </row>
    <row r="525" spans="25:25">
      <c r="Y525" s="25"/>
    </row>
    <row r="526" spans="25:25">
      <c r="Y526" s="25"/>
    </row>
    <row r="527" spans="25:25">
      <c r="Y527" s="25"/>
    </row>
    <row r="528" spans="25:25">
      <c r="Y528" s="25"/>
    </row>
    <row r="529" spans="25:25">
      <c r="Y529" s="25"/>
    </row>
    <row r="530" spans="25:25">
      <c r="Y530" s="25"/>
    </row>
    <row r="531" spans="25:25">
      <c r="Y531" s="25"/>
    </row>
    <row r="532" spans="25:25">
      <c r="Y532" s="25"/>
    </row>
    <row r="533" spans="25:25">
      <c r="Y533" s="25"/>
    </row>
    <row r="534" spans="25:25">
      <c r="Y534" s="25"/>
    </row>
    <row r="535" spans="25:25">
      <c r="Y535" s="25"/>
    </row>
    <row r="536" spans="25:25">
      <c r="Y536" s="25"/>
    </row>
    <row r="537" spans="25:25">
      <c r="Y537" s="25"/>
    </row>
    <row r="538" spans="25:25">
      <c r="Y538" s="25"/>
    </row>
    <row r="539" spans="25:25">
      <c r="Y539" s="25"/>
    </row>
    <row r="540" spans="25:25">
      <c r="Y540" s="25"/>
    </row>
    <row r="541" spans="25:25">
      <c r="Y541" s="25"/>
    </row>
    <row r="542" spans="25:25">
      <c r="Y542" s="25"/>
    </row>
    <row r="543" spans="25:25">
      <c r="Y543" s="25"/>
    </row>
    <row r="544" spans="25:25">
      <c r="Y544" s="25"/>
    </row>
    <row r="545" spans="25:25">
      <c r="Y545" s="25"/>
    </row>
    <row r="546" spans="25:25">
      <c r="Y546" s="25"/>
    </row>
    <row r="547" spans="25:25">
      <c r="Y547" s="25"/>
    </row>
    <row r="548" spans="25:25">
      <c r="Y548" s="25"/>
    </row>
    <row r="549" spans="25:25">
      <c r="Y549" s="25"/>
    </row>
    <row r="550" spans="25:25">
      <c r="Y550" s="25"/>
    </row>
    <row r="551" spans="25:25">
      <c r="Y551" s="25"/>
    </row>
    <row r="552" spans="25:25">
      <c r="Y552" s="25"/>
    </row>
    <row r="553" spans="25:25">
      <c r="Y553" s="25"/>
    </row>
    <row r="554" spans="25:25">
      <c r="Y554" s="25"/>
    </row>
    <row r="555" spans="25:25">
      <c r="Y555" s="25"/>
    </row>
    <row r="556" spans="25:25">
      <c r="Y556" s="25"/>
    </row>
    <row r="557" spans="25:25">
      <c r="Y557" s="25"/>
    </row>
    <row r="558" spans="25:25">
      <c r="Y558" s="25"/>
    </row>
    <row r="559" spans="25:25">
      <c r="Y559" s="25"/>
    </row>
    <row r="560" spans="25:25">
      <c r="Y560" s="25"/>
    </row>
    <row r="561" spans="25:25">
      <c r="Y561" s="25"/>
    </row>
    <row r="562" spans="25:25">
      <c r="Y562" s="25"/>
    </row>
  </sheetData>
  <mergeCells count="3">
    <mergeCell ref="AB30:AD30"/>
    <mergeCell ref="DL1:DY1"/>
    <mergeCell ref="CN1:DG1"/>
  </mergeCells>
  <phoneticPr fontId="59"/>
  <pageMargins left="0.75" right="0.75" top="1" bottom="1" header="0.5" footer="0.5"/>
  <pageSetup orientation="landscape" horizontalDpi="4294967292" verticalDpi="4294967292"/>
  <headerFooter>
    <oddHeader>&amp;F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07"/>
  <sheetViews>
    <sheetView workbookViewId="0">
      <selection activeCell="E38" sqref="E38"/>
    </sheetView>
  </sheetViews>
  <sheetFormatPr baseColWidth="10" defaultRowHeight="13" x14ac:dyDescent="0"/>
  <cols>
    <col min="2" max="2" width="37" bestFit="1" customWidth="1"/>
    <col min="3" max="3" width="14.28515625" bestFit="1" customWidth="1"/>
    <col min="5" max="5" width="13.28515625" bestFit="1" customWidth="1"/>
  </cols>
  <sheetData>
    <row r="10" spans="2:6" ht="14" thickBot="1"/>
    <row r="11" spans="2:6">
      <c r="B11" s="758"/>
      <c r="C11" s="759"/>
      <c r="D11" s="759"/>
      <c r="E11" s="759"/>
      <c r="F11" s="760"/>
    </row>
    <row r="12" spans="2:6" ht="21">
      <c r="B12" s="773"/>
      <c r="C12" s="776" t="s">
        <v>1458</v>
      </c>
      <c r="D12" s="774"/>
      <c r="E12" s="774"/>
      <c r="F12" s="775"/>
    </row>
    <row r="13" spans="2:6">
      <c r="B13" s="761" t="s">
        <v>159</v>
      </c>
      <c r="C13" s="577" t="s">
        <v>1571</v>
      </c>
      <c r="D13" s="577"/>
      <c r="E13" s="577" t="s">
        <v>1571</v>
      </c>
      <c r="F13" s="762" t="s">
        <v>1572</v>
      </c>
    </row>
    <row r="14" spans="2:6" ht="14" thickBot="1">
      <c r="B14" s="761"/>
      <c r="C14" s="755" t="s">
        <v>640</v>
      </c>
      <c r="D14" s="577"/>
      <c r="E14" s="755" t="s">
        <v>641</v>
      </c>
      <c r="F14" s="763" t="s">
        <v>1573</v>
      </c>
    </row>
    <row r="15" spans="2:6">
      <c r="B15" s="761"/>
      <c r="C15" s="577"/>
      <c r="D15" s="577"/>
      <c r="E15" s="577"/>
      <c r="F15" s="762"/>
    </row>
    <row r="16" spans="2:6">
      <c r="B16" s="187"/>
      <c r="C16" s="577"/>
      <c r="D16" s="577"/>
      <c r="E16" s="577"/>
      <c r="F16" s="577"/>
    </row>
    <row r="17" spans="2:6">
      <c r="B17" s="187" t="s">
        <v>249</v>
      </c>
      <c r="C17" s="756">
        <v>19000000</v>
      </c>
      <c r="D17" s="577"/>
      <c r="E17" s="570">
        <v>950000</v>
      </c>
      <c r="F17" s="785">
        <f>E17/C17</f>
        <v>0.05</v>
      </c>
    </row>
    <row r="18" spans="2:6">
      <c r="B18" s="187"/>
      <c r="C18" s="577"/>
      <c r="D18" s="577"/>
      <c r="E18" s="577"/>
      <c r="F18" s="577"/>
    </row>
    <row r="19" spans="2:6">
      <c r="B19" s="187" t="s">
        <v>1459</v>
      </c>
      <c r="C19" s="756">
        <v>20000000</v>
      </c>
      <c r="D19" s="577"/>
      <c r="E19" s="756">
        <v>1700000</v>
      </c>
      <c r="F19" s="785">
        <f>E19/C19</f>
        <v>8.5000000000000006E-2</v>
      </c>
    </row>
    <row r="20" spans="2:6">
      <c r="B20" s="187"/>
      <c r="C20" s="577"/>
      <c r="D20" s="577"/>
      <c r="E20" s="756"/>
      <c r="F20" s="785"/>
    </row>
    <row r="21" spans="2:6">
      <c r="B21" s="790" t="s">
        <v>1542</v>
      </c>
      <c r="C21" s="791">
        <v>20401929</v>
      </c>
      <c r="D21" s="791"/>
      <c r="E21" s="791">
        <v>1471479</v>
      </c>
      <c r="F21" s="792">
        <f>E21/C21</f>
        <v>7.212450352121115E-2</v>
      </c>
    </row>
    <row r="22" spans="2:6">
      <c r="B22" s="187"/>
      <c r="C22" s="577"/>
      <c r="D22" s="577"/>
      <c r="E22" s="577"/>
      <c r="F22" s="577"/>
    </row>
    <row r="23" spans="2:6">
      <c r="B23" s="187" t="s">
        <v>1574</v>
      </c>
      <c r="C23" s="756">
        <v>27935000</v>
      </c>
      <c r="D23" s="577"/>
      <c r="E23" s="570">
        <v>2968850</v>
      </c>
      <c r="F23" s="785">
        <f>E23/C23</f>
        <v>0.10627707177376051</v>
      </c>
    </row>
    <row r="24" spans="2:6">
      <c r="B24" s="187"/>
      <c r="C24" s="577"/>
      <c r="D24" s="577"/>
      <c r="E24" s="577"/>
      <c r="F24" s="577"/>
    </row>
    <row r="25" spans="2:6">
      <c r="B25" s="187" t="s">
        <v>1575</v>
      </c>
      <c r="C25" s="255">
        <v>33339000</v>
      </c>
      <c r="D25" s="577"/>
      <c r="E25" s="570">
        <v>5458310</v>
      </c>
      <c r="F25" s="785">
        <f>E25/C25</f>
        <v>0.1637214673505504</v>
      </c>
    </row>
    <row r="26" spans="2:6">
      <c r="B26" s="187"/>
      <c r="C26" s="577"/>
      <c r="D26" s="577"/>
      <c r="E26" s="577"/>
      <c r="F26" s="577"/>
    </row>
    <row r="27" spans="2:6">
      <c r="B27" s="790" t="s">
        <v>1543</v>
      </c>
      <c r="C27" s="791">
        <v>26958692</v>
      </c>
      <c r="D27" s="791"/>
      <c r="E27" s="791">
        <v>4367788</v>
      </c>
      <c r="F27" s="793">
        <f>E27/C27</f>
        <v>0.1620178011603827</v>
      </c>
    </row>
    <row r="28" spans="2:6">
      <c r="B28" s="187"/>
      <c r="C28" s="577"/>
      <c r="D28" s="577"/>
      <c r="E28" s="577"/>
      <c r="F28" s="577"/>
    </row>
    <row r="29" spans="2:6">
      <c r="B29" s="187" t="s">
        <v>1577</v>
      </c>
      <c r="C29" s="255">
        <v>23070000</v>
      </c>
      <c r="D29" s="570"/>
      <c r="E29" s="255">
        <v>3183600</v>
      </c>
      <c r="F29" s="785">
        <f>E29/C29</f>
        <v>0.13799739921976592</v>
      </c>
    </row>
    <row r="30" spans="2:6">
      <c r="B30" s="187"/>
      <c r="C30" s="570"/>
      <c r="D30" s="570"/>
      <c r="E30" s="570"/>
      <c r="F30" s="785"/>
    </row>
    <row r="31" spans="2:6">
      <c r="B31" s="187" t="s">
        <v>1578</v>
      </c>
      <c r="C31" s="255">
        <v>26722000</v>
      </c>
      <c r="D31" s="570"/>
      <c r="E31" s="570">
        <v>4277820</v>
      </c>
      <c r="F31" s="785">
        <f>E31/C31</f>
        <v>0.16008607140184117</v>
      </c>
    </row>
    <row r="32" spans="2:6">
      <c r="F32" s="785"/>
    </row>
    <row r="33" spans="2:6">
      <c r="B33" s="790" t="s">
        <v>1544</v>
      </c>
      <c r="C33" s="791">
        <v>21069013</v>
      </c>
      <c r="D33" s="791"/>
      <c r="E33" s="791">
        <v>545774</v>
      </c>
      <c r="F33" s="793">
        <f>E33/C33</f>
        <v>2.5904108559807713E-2</v>
      </c>
    </row>
    <row r="34" spans="2:6">
      <c r="F34" s="785"/>
    </row>
    <row r="35" spans="2:6">
      <c r="F35" s="785"/>
    </row>
    <row r="36" spans="2:6">
      <c r="B36" s="753" t="s">
        <v>1545</v>
      </c>
      <c r="C36" s="794">
        <v>22279150</v>
      </c>
      <c r="E36" s="794">
        <v>866909.5</v>
      </c>
      <c r="F36" s="785">
        <v>3.8911246613986622E-2</v>
      </c>
    </row>
    <row r="37" spans="2:6">
      <c r="B37" s="790" t="s">
        <v>1547</v>
      </c>
      <c r="C37" s="791">
        <v>23536044</v>
      </c>
      <c r="D37" s="791"/>
      <c r="E37" s="791">
        <v>1934167</v>
      </c>
      <c r="F37" s="792">
        <f>E37/C37</f>
        <v>8.2178933723951228E-2</v>
      </c>
    </row>
    <row r="38" spans="2:6">
      <c r="B38" s="753" t="s">
        <v>1546</v>
      </c>
      <c r="C38" s="794">
        <v>25351800</v>
      </c>
      <c r="E38" s="794">
        <v>3077733.5</v>
      </c>
      <c r="F38" s="785">
        <v>0.12140098533437468</v>
      </c>
    </row>
    <row r="39" spans="2:6">
      <c r="B39" s="753"/>
      <c r="C39" s="794"/>
      <c r="E39" s="794"/>
      <c r="F39" s="785"/>
    </row>
    <row r="40" spans="2:6">
      <c r="B40" s="753">
        <v>2011</v>
      </c>
      <c r="C40" s="794">
        <v>24303932.5</v>
      </c>
      <c r="E40" s="794">
        <v>2143893.3749999995</v>
      </c>
      <c r="F40" s="785">
        <v>8.8211789388404516E-2</v>
      </c>
    </row>
    <row r="42" spans="2:6">
      <c r="B42" s="753">
        <v>2012</v>
      </c>
      <c r="C42" s="794">
        <v>26064354.125</v>
      </c>
      <c r="E42" s="794">
        <v>2456617.4587500002</v>
      </c>
      <c r="F42" s="785">
        <v>9.4251998225948763E-2</v>
      </c>
    </row>
    <row r="44" spans="2:6" ht="11" customHeight="1"/>
    <row r="45" spans="2:6" ht="12" customHeight="1"/>
    <row r="49" spans="1:6" ht="14" thickBot="1">
      <c r="A49" s="753"/>
      <c r="C49" s="570"/>
      <c r="D49" s="570"/>
      <c r="E49" s="570"/>
    </row>
    <row r="50" spans="1:6">
      <c r="A50" s="3"/>
      <c r="B50" s="758"/>
      <c r="C50" s="759"/>
      <c r="D50" s="759"/>
      <c r="E50" s="759"/>
      <c r="F50" s="760"/>
    </row>
    <row r="51" spans="1:6" ht="21">
      <c r="A51" s="3"/>
      <c r="B51" s="773"/>
      <c r="C51" s="776" t="s">
        <v>76</v>
      </c>
      <c r="D51" s="774"/>
      <c r="E51" s="774"/>
      <c r="F51" s="775"/>
    </row>
    <row r="52" spans="1:6">
      <c r="A52" s="754"/>
      <c r="B52" s="761" t="s">
        <v>159</v>
      </c>
      <c r="C52" s="577" t="s">
        <v>1571</v>
      </c>
      <c r="D52" s="577"/>
      <c r="E52" s="577" t="s">
        <v>1571</v>
      </c>
      <c r="F52" s="762" t="s">
        <v>1572</v>
      </c>
    </row>
    <row r="53" spans="1:6" ht="14" thickBot="1">
      <c r="A53" s="754"/>
      <c r="B53" s="761"/>
      <c r="C53" s="755" t="s">
        <v>640</v>
      </c>
      <c r="D53" s="577"/>
      <c r="E53" s="755" t="s">
        <v>641</v>
      </c>
      <c r="F53" s="763" t="s">
        <v>1573</v>
      </c>
    </row>
    <row r="54" spans="1:6">
      <c r="A54" s="754"/>
      <c r="B54" s="761"/>
      <c r="C54" s="577"/>
      <c r="D54" s="577"/>
      <c r="E54" s="577"/>
      <c r="F54" s="762"/>
    </row>
    <row r="55" spans="1:6">
      <c r="A55" s="754"/>
      <c r="B55" s="761" t="s">
        <v>1574</v>
      </c>
      <c r="C55" s="756">
        <v>27935000</v>
      </c>
      <c r="D55" s="577"/>
      <c r="E55" s="583">
        <v>2968850</v>
      </c>
      <c r="F55" s="764">
        <f>E55/C55</f>
        <v>0.10627707177376051</v>
      </c>
    </row>
    <row r="56" spans="1:6">
      <c r="A56" s="754"/>
      <c r="B56" s="761"/>
      <c r="C56" s="577"/>
      <c r="D56" s="577"/>
      <c r="E56" s="577"/>
      <c r="F56" s="762"/>
    </row>
    <row r="57" spans="1:6">
      <c r="A57" s="754"/>
      <c r="B57" s="761" t="s">
        <v>1575</v>
      </c>
      <c r="C57" s="756">
        <v>33339000</v>
      </c>
      <c r="D57" s="577"/>
      <c r="E57" s="583">
        <v>5458310</v>
      </c>
      <c r="F57" s="764">
        <f>E57/C57</f>
        <v>0.1637214673505504</v>
      </c>
    </row>
    <row r="58" spans="1:6">
      <c r="A58" s="754"/>
      <c r="B58" s="761"/>
      <c r="C58" s="577"/>
      <c r="D58" s="577"/>
      <c r="E58" s="577"/>
      <c r="F58" s="762"/>
    </row>
    <row r="59" spans="1:6">
      <c r="A59" s="757"/>
      <c r="B59" s="765" t="s">
        <v>1576</v>
      </c>
      <c r="C59" s="766">
        <v>26800000</v>
      </c>
      <c r="D59" s="766"/>
      <c r="E59" s="766">
        <v>4430000</v>
      </c>
      <c r="F59" s="767">
        <f>E59/C59</f>
        <v>0.16529850746268657</v>
      </c>
    </row>
    <row r="60" spans="1:6">
      <c r="A60" s="754"/>
      <c r="B60" s="761"/>
      <c r="C60" s="577"/>
      <c r="D60" s="577"/>
      <c r="E60" s="577"/>
      <c r="F60" s="762"/>
    </row>
    <row r="61" spans="1:6">
      <c r="A61" s="3"/>
      <c r="B61" s="761" t="s">
        <v>1577</v>
      </c>
      <c r="C61" s="756">
        <v>23070000</v>
      </c>
      <c r="D61" s="583"/>
      <c r="E61" s="756">
        <v>3183600</v>
      </c>
      <c r="F61" s="764">
        <f>E61/C61</f>
        <v>0.13799739921976592</v>
      </c>
    </row>
    <row r="62" spans="1:6">
      <c r="A62" s="3"/>
      <c r="B62" s="761"/>
      <c r="C62" s="583"/>
      <c r="D62" s="583"/>
      <c r="E62" s="583"/>
      <c r="F62" s="764"/>
    </row>
    <row r="63" spans="1:6">
      <c r="B63" s="761" t="s">
        <v>1578</v>
      </c>
      <c r="C63" s="756">
        <v>26722000</v>
      </c>
      <c r="D63" s="583"/>
      <c r="E63" s="583">
        <v>4277820</v>
      </c>
      <c r="F63" s="764">
        <f>E63/C63</f>
        <v>0.16008607140184117</v>
      </c>
    </row>
    <row r="64" spans="1:6">
      <c r="B64" s="548"/>
      <c r="C64" s="209"/>
      <c r="D64" s="209"/>
      <c r="E64" s="209"/>
      <c r="F64" s="764"/>
    </row>
    <row r="65" spans="2:6">
      <c r="B65" s="768" t="s">
        <v>1579</v>
      </c>
      <c r="C65" s="769">
        <v>27929520</v>
      </c>
      <c r="D65" s="209"/>
      <c r="E65" s="769">
        <v>3899865.6</v>
      </c>
      <c r="F65" s="764">
        <f>E65/C65</f>
        <v>0.1396323889562012</v>
      </c>
    </row>
    <row r="66" spans="2:6">
      <c r="B66" s="548"/>
      <c r="C66" s="209"/>
      <c r="D66" s="209"/>
      <c r="E66" s="209"/>
      <c r="F66" s="764"/>
    </row>
    <row r="67" spans="2:6" ht="14" thickBot="1">
      <c r="B67" s="770" t="s">
        <v>1580</v>
      </c>
      <c r="C67" s="771"/>
      <c r="D67" s="227"/>
      <c r="E67" s="771"/>
      <c r="F67" s="772"/>
    </row>
    <row r="71" spans="2:6" ht="14" thickBot="1"/>
    <row r="72" spans="2:6">
      <c r="B72" s="758"/>
      <c r="C72" s="759"/>
      <c r="D72" s="759"/>
      <c r="E72" s="759"/>
      <c r="F72" s="760"/>
    </row>
    <row r="73" spans="2:6" ht="21">
      <c r="B73" s="773"/>
      <c r="C73" s="776" t="s">
        <v>151</v>
      </c>
      <c r="D73" s="774"/>
      <c r="E73" s="774"/>
      <c r="F73" s="775"/>
    </row>
    <row r="74" spans="2:6">
      <c r="B74" s="187" t="s">
        <v>159</v>
      </c>
      <c r="C74" s="574" t="s">
        <v>1571</v>
      </c>
      <c r="D74" s="574"/>
      <c r="E74" s="574" t="s">
        <v>1571</v>
      </c>
      <c r="F74" s="574" t="s">
        <v>1572</v>
      </c>
    </row>
    <row r="75" spans="2:6" ht="14" thickBot="1">
      <c r="B75" s="187"/>
      <c r="C75" s="755" t="s">
        <v>640</v>
      </c>
      <c r="D75" s="577"/>
      <c r="E75" s="755" t="s">
        <v>641</v>
      </c>
      <c r="F75" s="755" t="s">
        <v>1573</v>
      </c>
    </row>
    <row r="76" spans="2:6">
      <c r="B76" s="187"/>
      <c r="C76" s="577"/>
      <c r="D76" s="577"/>
      <c r="E76" s="577"/>
      <c r="F76" s="577"/>
    </row>
    <row r="77" spans="2:6">
      <c r="B77" s="187" t="s">
        <v>249</v>
      </c>
      <c r="C77" s="756">
        <v>19000000</v>
      </c>
      <c r="D77" s="577"/>
      <c r="E77" s="570">
        <v>950000</v>
      </c>
      <c r="F77" s="785">
        <v>0.05</v>
      </c>
    </row>
    <row r="78" spans="2:6">
      <c r="B78" s="187"/>
      <c r="C78" s="577"/>
      <c r="D78" s="577"/>
      <c r="E78" s="577"/>
      <c r="F78" s="577"/>
    </row>
    <row r="79" spans="2:6">
      <c r="B79" s="187" t="s">
        <v>250</v>
      </c>
      <c r="C79" s="255">
        <v>20000000</v>
      </c>
      <c r="D79" s="577"/>
      <c r="E79" s="570">
        <v>1700000</v>
      </c>
      <c r="F79" s="785">
        <v>8.5000000000000006E-2</v>
      </c>
    </row>
    <row r="80" spans="2:6">
      <c r="B80" s="187"/>
      <c r="C80" s="577"/>
      <c r="D80" s="577"/>
      <c r="E80" s="577"/>
      <c r="F80" s="577"/>
    </row>
    <row r="81" spans="2:6">
      <c r="B81" s="294" t="s">
        <v>150</v>
      </c>
      <c r="C81" s="251">
        <v>20400000</v>
      </c>
      <c r="D81" s="251"/>
      <c r="E81" s="251">
        <v>1400000</v>
      </c>
      <c r="F81" s="786">
        <f>E81/C81</f>
        <v>6.8627450980392163E-2</v>
      </c>
    </row>
    <row r="82" spans="2:6">
      <c r="B82" s="187"/>
      <c r="C82" s="577"/>
      <c r="D82" s="577"/>
      <c r="E82" s="577"/>
      <c r="F82" s="577"/>
    </row>
    <row r="83" spans="2:6">
      <c r="B83" s="187" t="s">
        <v>1574</v>
      </c>
      <c r="C83" s="255">
        <v>0</v>
      </c>
      <c r="D83" s="570"/>
      <c r="E83" s="570">
        <v>0</v>
      </c>
      <c r="F83" s="785" t="e">
        <f>E83/C83</f>
        <v>#DIV/0!</v>
      </c>
    </row>
    <row r="84" spans="2:6">
      <c r="B84" s="187"/>
      <c r="C84" s="570"/>
      <c r="D84" s="570"/>
      <c r="E84" s="570"/>
      <c r="F84" s="785"/>
    </row>
    <row r="85" spans="2:6">
      <c r="B85" s="187" t="s">
        <v>1575</v>
      </c>
      <c r="C85" s="255">
        <v>0</v>
      </c>
      <c r="D85" s="570"/>
      <c r="E85" s="570">
        <v>0</v>
      </c>
      <c r="F85" s="785" t="e">
        <f>E85/C85</f>
        <v>#DIV/0!</v>
      </c>
    </row>
    <row r="86" spans="2:6">
      <c r="F86" s="785"/>
    </row>
    <row r="87" spans="2:6">
      <c r="B87" s="753">
        <v>2009</v>
      </c>
      <c r="C87" s="787">
        <v>0</v>
      </c>
      <c r="E87" s="787">
        <v>0</v>
      </c>
      <c r="F87" s="785" t="e">
        <f>E87/C87</f>
        <v>#DIV/0!</v>
      </c>
    </row>
    <row r="88" spans="2:6">
      <c r="F88" s="785"/>
    </row>
    <row r="89" spans="2:6">
      <c r="B89" s="753">
        <v>2010</v>
      </c>
      <c r="C89" s="787">
        <v>0</v>
      </c>
      <c r="E89" s="787">
        <v>0</v>
      </c>
      <c r="F89" s="785" t="e">
        <f>E89/C89</f>
        <v>#DIV/0!</v>
      </c>
    </row>
    <row r="91" spans="2:6" ht="14" thickBot="1"/>
    <row r="92" spans="2:6">
      <c r="B92" s="758"/>
      <c r="C92" s="759"/>
      <c r="D92" s="759"/>
      <c r="E92" s="759"/>
      <c r="F92" s="760"/>
    </row>
    <row r="93" spans="2:6" ht="21">
      <c r="B93" s="773"/>
      <c r="C93" s="776" t="s">
        <v>152</v>
      </c>
      <c r="D93" s="774"/>
      <c r="E93" s="774"/>
      <c r="F93" s="775"/>
    </row>
    <row r="94" spans="2:6">
      <c r="B94" s="187" t="s">
        <v>159</v>
      </c>
      <c r="C94" s="574" t="s">
        <v>1571</v>
      </c>
      <c r="D94" s="574"/>
      <c r="E94" s="574" t="s">
        <v>1571</v>
      </c>
      <c r="F94" s="574" t="s">
        <v>1572</v>
      </c>
    </row>
    <row r="95" spans="2:6" ht="14" thickBot="1">
      <c r="B95" s="187"/>
      <c r="C95" s="755" t="s">
        <v>640</v>
      </c>
      <c r="D95" s="577"/>
      <c r="E95" s="755" t="s">
        <v>641</v>
      </c>
      <c r="F95" s="755" t="s">
        <v>1573</v>
      </c>
    </row>
    <row r="96" spans="2:6">
      <c r="B96" s="187"/>
      <c r="C96" s="577"/>
      <c r="D96" s="577"/>
      <c r="E96" s="577"/>
      <c r="F96" s="577"/>
    </row>
    <row r="97" spans="2:6">
      <c r="B97" s="187" t="s">
        <v>249</v>
      </c>
      <c r="C97" s="756">
        <v>19000000</v>
      </c>
      <c r="D97" s="577"/>
      <c r="E97" s="570">
        <v>950000</v>
      </c>
      <c r="F97" s="785">
        <v>0.05</v>
      </c>
    </row>
    <row r="98" spans="2:6">
      <c r="B98" s="187"/>
      <c r="C98" s="577"/>
      <c r="D98" s="577"/>
      <c r="E98" s="577"/>
      <c r="F98" s="577"/>
    </row>
    <row r="99" spans="2:6">
      <c r="B99" s="187" t="s">
        <v>250</v>
      </c>
      <c r="C99" s="255">
        <v>20000000</v>
      </c>
      <c r="D99" s="577"/>
      <c r="E99" s="570">
        <v>1700000</v>
      </c>
      <c r="F99" s="785">
        <v>8.5000000000000006E-2</v>
      </c>
    </row>
    <row r="100" spans="2:6">
      <c r="B100" s="187"/>
      <c r="C100" s="577"/>
      <c r="D100" s="577"/>
      <c r="E100" s="577"/>
      <c r="F100" s="577"/>
    </row>
    <row r="101" spans="2:6">
      <c r="B101" s="187" t="s">
        <v>1574</v>
      </c>
      <c r="C101" s="255">
        <v>0</v>
      </c>
      <c r="D101" s="570"/>
      <c r="E101" s="570">
        <v>0</v>
      </c>
      <c r="F101" s="785" t="e">
        <f>E101/C101</f>
        <v>#DIV/0!</v>
      </c>
    </row>
    <row r="102" spans="2:6">
      <c r="B102" s="187"/>
      <c r="C102" s="570"/>
      <c r="D102" s="570"/>
      <c r="E102" s="570"/>
      <c r="F102" s="785"/>
    </row>
    <row r="103" spans="2:6">
      <c r="B103" s="187" t="s">
        <v>1575</v>
      </c>
      <c r="C103" s="255">
        <v>0</v>
      </c>
      <c r="D103" s="570"/>
      <c r="E103" s="570">
        <v>0</v>
      </c>
      <c r="F103" s="785" t="e">
        <f>E103/C103</f>
        <v>#DIV/0!</v>
      </c>
    </row>
    <row r="104" spans="2:6">
      <c r="F104" s="785"/>
    </row>
    <row r="105" spans="2:6">
      <c r="B105" s="753">
        <v>2009</v>
      </c>
      <c r="C105" s="787">
        <v>0</v>
      </c>
      <c r="E105" s="787">
        <v>0</v>
      </c>
      <c r="F105" s="785" t="e">
        <f>E105/C105</f>
        <v>#DIV/0!</v>
      </c>
    </row>
    <row r="106" spans="2:6">
      <c r="F106" s="785"/>
    </row>
    <row r="107" spans="2:6">
      <c r="B107" s="753">
        <v>2010</v>
      </c>
      <c r="C107" s="787">
        <v>0</v>
      </c>
      <c r="E107" s="787">
        <v>0</v>
      </c>
      <c r="F107" s="785" t="e">
        <f>E107/C107</f>
        <v>#DIV/0!</v>
      </c>
    </row>
  </sheetData>
  <phoneticPr fontId="5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T71"/>
  <sheetViews>
    <sheetView workbookViewId="0">
      <pane xSplit="1" ySplit="1" topLeftCell="B2" activePane="bottomRight" state="frozenSplit"/>
      <selection pane="topRight" activeCell="B1" sqref="B1"/>
      <selection pane="bottomLeft"/>
      <selection pane="bottomRight" activeCell="B44" sqref="B44"/>
    </sheetView>
  </sheetViews>
  <sheetFormatPr baseColWidth="10" defaultRowHeight="13" x14ac:dyDescent="0"/>
  <cols>
    <col min="1" max="1" width="10.7109375" style="238"/>
    <col min="2" max="2" width="12.42578125" style="103" bestFit="1" customWidth="1"/>
    <col min="3" max="3" width="12" style="103" customWidth="1"/>
    <col min="4" max="6" width="12.42578125" style="103" bestFit="1" customWidth="1"/>
    <col min="7" max="7" width="11.85546875" bestFit="1" customWidth="1"/>
    <col min="8" max="9" width="13.28515625" bestFit="1" customWidth="1"/>
    <col min="10" max="10" width="1.5703125" customWidth="1"/>
    <col min="11" max="14" width="11.85546875" bestFit="1" customWidth="1"/>
    <col min="15" max="15" width="13.42578125" bestFit="1" customWidth="1"/>
    <col min="16" max="16" width="11.85546875" bestFit="1" customWidth="1"/>
    <col min="17" max="17" width="13.42578125" bestFit="1" customWidth="1"/>
    <col min="18" max="18" width="11.85546875" bestFit="1" customWidth="1"/>
    <col min="19" max="20" width="10.85546875" bestFit="1" customWidth="1"/>
  </cols>
  <sheetData>
    <row r="1" spans="1:20" s="187" customFormat="1">
      <c r="A1" s="252" t="s">
        <v>760</v>
      </c>
      <c r="B1" s="253" t="s">
        <v>801</v>
      </c>
      <c r="C1" s="253" t="s">
        <v>759</v>
      </c>
      <c r="D1" s="254" t="s">
        <v>142</v>
      </c>
      <c r="E1" s="254" t="s">
        <v>1146</v>
      </c>
      <c r="F1" s="254" t="s">
        <v>143</v>
      </c>
      <c r="G1"/>
      <c r="H1" s="254" t="s">
        <v>985</v>
      </c>
      <c r="I1" s="254" t="s">
        <v>986</v>
      </c>
      <c r="K1" s="230" t="s">
        <v>987</v>
      </c>
      <c r="L1" s="230" t="s">
        <v>842</v>
      </c>
      <c r="M1" s="463" t="s">
        <v>673</v>
      </c>
      <c r="N1" s="464" t="s">
        <v>789</v>
      </c>
      <c r="O1" s="230" t="s">
        <v>844</v>
      </c>
      <c r="P1" s="230" t="s">
        <v>845</v>
      </c>
      <c r="Q1" s="230" t="s">
        <v>847</v>
      </c>
      <c r="R1" s="230" t="s">
        <v>1417</v>
      </c>
      <c r="S1" s="230" t="s">
        <v>988</v>
      </c>
      <c r="T1" s="230" t="s">
        <v>846</v>
      </c>
    </row>
    <row r="2" spans="1:20">
      <c r="A2" s="238">
        <v>33207</v>
      </c>
      <c r="B2" s="259">
        <f>SUM(D2:F2)</f>
        <v>7139148</v>
      </c>
      <c r="C2" s="259"/>
      <c r="D2" s="259">
        <v>4133255</v>
      </c>
      <c r="E2" s="259">
        <v>2300985</v>
      </c>
      <c r="F2" s="259">
        <v>704908</v>
      </c>
      <c r="G2" s="489"/>
      <c r="H2" s="259">
        <v>3167457</v>
      </c>
      <c r="I2" s="259">
        <f t="shared" ref="I2:I16" si="0">B2-H2</f>
        <v>3971691</v>
      </c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>
      <c r="A3" s="238">
        <v>33572</v>
      </c>
      <c r="B3" s="259">
        <f t="shared" ref="B3:B8" si="1">SUM(D3:F3)</f>
        <v>7374765</v>
      </c>
      <c r="C3" s="259"/>
      <c r="D3" s="259">
        <v>696268</v>
      </c>
      <c r="E3" s="259">
        <v>2750985</v>
      </c>
      <c r="F3" s="259">
        <v>3927512</v>
      </c>
      <c r="G3" s="489"/>
      <c r="H3" s="259">
        <v>3471218</v>
      </c>
      <c r="I3" s="259">
        <f t="shared" si="0"/>
        <v>3903547</v>
      </c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1:20">
      <c r="A4" s="238">
        <v>33938</v>
      </c>
      <c r="B4" s="259">
        <f t="shared" si="1"/>
        <v>6168132</v>
      </c>
      <c r="C4" s="259"/>
      <c r="D4" s="259">
        <v>1044729</v>
      </c>
      <c r="E4" s="259">
        <v>1615634</v>
      </c>
      <c r="F4" s="259">
        <v>3507769</v>
      </c>
      <c r="G4" s="489"/>
      <c r="H4" s="259">
        <v>3295111</v>
      </c>
      <c r="I4" s="259">
        <f t="shared" si="0"/>
        <v>2873021</v>
      </c>
      <c r="K4" s="103"/>
      <c r="L4" s="103"/>
      <c r="M4" s="103">
        <f>6017734.62-5880819.51</f>
        <v>136915.11000000034</v>
      </c>
      <c r="N4" s="103"/>
      <c r="O4" s="103"/>
      <c r="P4" s="103"/>
      <c r="Q4" s="103"/>
      <c r="R4" s="103"/>
      <c r="S4" s="103"/>
      <c r="T4" s="103"/>
    </row>
    <row r="5" spans="1:20">
      <c r="A5" s="238">
        <v>34303</v>
      </c>
      <c r="B5" s="259">
        <f t="shared" si="1"/>
        <v>5346876</v>
      </c>
      <c r="C5" s="259"/>
      <c r="D5" s="259">
        <v>3486188</v>
      </c>
      <c r="E5" s="259">
        <v>1276044</v>
      </c>
      <c r="F5" s="259">
        <v>584644</v>
      </c>
      <c r="G5" s="489"/>
      <c r="H5" s="257">
        <v>3118670</v>
      </c>
      <c r="I5" s="257">
        <f t="shared" si="0"/>
        <v>2228206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</row>
    <row r="6" spans="1:20">
      <c r="A6" s="238">
        <v>34668</v>
      </c>
      <c r="B6" s="259">
        <f t="shared" si="1"/>
        <v>5503185</v>
      </c>
      <c r="C6" s="259"/>
      <c r="D6" s="259">
        <v>3400676</v>
      </c>
      <c r="E6" s="259">
        <v>1414332</v>
      </c>
      <c r="F6" s="259">
        <v>688177</v>
      </c>
      <c r="G6" s="489"/>
      <c r="H6" s="257">
        <v>3162374</v>
      </c>
      <c r="I6" s="257">
        <f t="shared" si="0"/>
        <v>2340811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</row>
    <row r="7" spans="1:20">
      <c r="A7" s="238">
        <v>35033</v>
      </c>
      <c r="B7" s="259">
        <f t="shared" si="1"/>
        <v>4904259</v>
      </c>
      <c r="C7" s="259"/>
      <c r="D7" s="259">
        <v>3051410</v>
      </c>
      <c r="E7" s="259">
        <v>1016924</v>
      </c>
      <c r="F7" s="259">
        <v>835925</v>
      </c>
      <c r="G7" s="489"/>
      <c r="H7" s="257">
        <v>2933333</v>
      </c>
      <c r="I7" s="257">
        <f t="shared" si="0"/>
        <v>1970926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</row>
    <row r="8" spans="1:20">
      <c r="A8" s="238">
        <v>35216</v>
      </c>
      <c r="B8" s="259">
        <f t="shared" si="1"/>
        <v>4091736</v>
      </c>
      <c r="C8" s="259"/>
      <c r="D8" s="259">
        <f>2693333+315974+2236+14925</f>
        <v>3026468</v>
      </c>
      <c r="E8" s="259">
        <f>400000+4885</f>
        <v>404885</v>
      </c>
      <c r="F8" s="259">
        <f>160000+484233+16150</f>
        <v>660383</v>
      </c>
      <c r="G8" s="489"/>
      <c r="H8" s="257">
        <v>2853333</v>
      </c>
      <c r="I8" s="257">
        <f t="shared" si="0"/>
        <v>1238403</v>
      </c>
      <c r="K8" s="103"/>
      <c r="L8" s="103"/>
      <c r="M8" s="103"/>
      <c r="N8" s="103"/>
      <c r="O8" s="103"/>
      <c r="P8" s="103"/>
      <c r="Q8" s="103"/>
      <c r="R8" s="103"/>
      <c r="S8" s="103"/>
      <c r="T8" s="103"/>
    </row>
    <row r="9" spans="1:20">
      <c r="A9" s="238">
        <v>35246</v>
      </c>
      <c r="B9" s="257">
        <f t="shared" ref="B9:B20" si="2">SUM(K9:Q9)</f>
        <v>4125520.4600000004</v>
      </c>
      <c r="C9" s="257">
        <f t="shared" ref="C9:C20" si="3">K9+R9+S9+L9+M9+N9+T9</f>
        <v>1265896.69</v>
      </c>
      <c r="D9" s="257">
        <f t="shared" ref="D9:D20" si="4">O9+P9+T9+Q9</f>
        <v>2991965.1700000004</v>
      </c>
      <c r="E9" s="257">
        <f t="shared" ref="E9:E20" si="5">K9+R9+M9+S9+N9+P9+Q9</f>
        <v>1414205.3299999998</v>
      </c>
      <c r="F9" s="257">
        <f t="shared" ref="F9:F20" si="6">R9+S9+M9+N9</f>
        <v>604068.49</v>
      </c>
      <c r="G9" s="256"/>
      <c r="H9" s="257">
        <f t="shared" ref="H9:H14" si="7">L9+O9</f>
        <v>2840000.13</v>
      </c>
      <c r="I9" s="257">
        <f t="shared" si="0"/>
        <v>1285520.3300000005</v>
      </c>
      <c r="K9" s="103">
        <v>500000</v>
      </c>
      <c r="L9" s="103">
        <v>160000</v>
      </c>
      <c r="M9" s="103">
        <v>459233.28000000003</v>
      </c>
      <c r="N9" s="103">
        <v>16150.21</v>
      </c>
      <c r="O9" s="103">
        <v>2680000.13</v>
      </c>
      <c r="P9" s="103">
        <v>296454.12</v>
      </c>
      <c r="Q9" s="103">
        <v>13682.72</v>
      </c>
      <c r="R9" s="103">
        <v>123800</v>
      </c>
      <c r="S9" s="103">
        <v>4885</v>
      </c>
      <c r="T9" s="103">
        <v>1828.2</v>
      </c>
    </row>
    <row r="10" spans="1:20">
      <c r="A10" s="238">
        <v>35277</v>
      </c>
      <c r="B10" s="257">
        <f t="shared" si="2"/>
        <v>4066459.21</v>
      </c>
      <c r="C10" s="257">
        <f t="shared" si="3"/>
        <v>1240487.21</v>
      </c>
      <c r="D10" s="257">
        <f t="shared" si="4"/>
        <v>2957495</v>
      </c>
      <c r="E10" s="257">
        <f t="shared" si="5"/>
        <v>1368478.21</v>
      </c>
      <c r="F10" s="257">
        <f t="shared" si="6"/>
        <v>579068.21</v>
      </c>
      <c r="G10" s="256"/>
      <c r="H10" s="257">
        <f t="shared" si="7"/>
        <v>2826666</v>
      </c>
      <c r="I10" s="257">
        <f t="shared" si="0"/>
        <v>1239793.21</v>
      </c>
      <c r="K10" s="103">
        <v>500000</v>
      </c>
      <c r="L10" s="103">
        <v>160000</v>
      </c>
      <c r="M10" s="103">
        <v>434233</v>
      </c>
      <c r="N10" s="103">
        <v>16150.21</v>
      </c>
      <c r="O10" s="103">
        <v>2666666</v>
      </c>
      <c r="P10" s="103">
        <v>276935</v>
      </c>
      <c r="Q10" s="103">
        <v>12475</v>
      </c>
      <c r="R10" s="103">
        <v>123800</v>
      </c>
      <c r="S10" s="103">
        <v>4885</v>
      </c>
      <c r="T10" s="103">
        <v>1419</v>
      </c>
    </row>
    <row r="11" spans="1:20">
      <c r="A11" s="238">
        <v>35308</v>
      </c>
      <c r="B11" s="257">
        <f t="shared" si="2"/>
        <v>4151930.89</v>
      </c>
      <c r="C11" s="257">
        <f t="shared" si="3"/>
        <v>1340076.82</v>
      </c>
      <c r="D11" s="257">
        <f t="shared" si="4"/>
        <v>2942556.29</v>
      </c>
      <c r="E11" s="257">
        <f t="shared" si="5"/>
        <v>1467282.42</v>
      </c>
      <c r="F11" s="257">
        <f t="shared" si="6"/>
        <v>579068.21</v>
      </c>
      <c r="G11" s="256"/>
      <c r="H11" s="257">
        <f t="shared" si="7"/>
        <v>2813333.47</v>
      </c>
      <c r="I11" s="257">
        <f t="shared" si="0"/>
        <v>1338597.42</v>
      </c>
      <c r="K11" s="103">
        <v>600000</v>
      </c>
      <c r="L11" s="103">
        <v>160000</v>
      </c>
      <c r="M11" s="103">
        <v>434233</v>
      </c>
      <c r="N11" s="103">
        <v>16150.21</v>
      </c>
      <c r="O11" s="103">
        <v>2653333.4700000002</v>
      </c>
      <c r="P11" s="103">
        <v>276934.68</v>
      </c>
      <c r="Q11" s="103">
        <v>11279.53</v>
      </c>
      <c r="R11" s="103">
        <v>123800</v>
      </c>
      <c r="S11" s="103">
        <v>4885</v>
      </c>
      <c r="T11" s="103">
        <v>1008.61</v>
      </c>
    </row>
    <row r="12" spans="1:20">
      <c r="A12" s="238">
        <v>35461</v>
      </c>
      <c r="B12" s="257">
        <f t="shared" si="2"/>
        <v>3209185.6799999997</v>
      </c>
      <c r="C12" s="257">
        <f t="shared" si="3"/>
        <v>893288.67999999993</v>
      </c>
      <c r="D12" s="257">
        <f t="shared" si="4"/>
        <v>2748717.4299999997</v>
      </c>
      <c r="E12" s="257">
        <f t="shared" si="5"/>
        <v>895339.29</v>
      </c>
      <c r="F12" s="257">
        <f t="shared" si="6"/>
        <v>733288.67999999993</v>
      </c>
      <c r="G12" s="256"/>
      <c r="H12" s="257">
        <f t="shared" si="7"/>
        <v>2746666.82</v>
      </c>
      <c r="I12" s="257">
        <f t="shared" si="0"/>
        <v>462518.85999999987</v>
      </c>
      <c r="K12" s="103">
        <v>0</v>
      </c>
      <c r="L12" s="103">
        <v>160000</v>
      </c>
      <c r="M12" s="103">
        <v>284233.28000000003</v>
      </c>
      <c r="N12" s="103">
        <v>16234.97</v>
      </c>
      <c r="O12" s="103">
        <v>2586666.8199999998</v>
      </c>
      <c r="P12" s="103">
        <v>159818.04</v>
      </c>
      <c r="Q12" s="103">
        <v>2232.5700000000002</v>
      </c>
      <c r="R12" s="103">
        <v>429000</v>
      </c>
      <c r="S12" s="103">
        <v>3820.43</v>
      </c>
      <c r="T12" s="103">
        <v>0</v>
      </c>
    </row>
    <row r="13" spans="1:20">
      <c r="A13" s="238">
        <v>35520</v>
      </c>
      <c r="B13" s="257">
        <f t="shared" si="2"/>
        <v>3707147</v>
      </c>
      <c r="C13" s="257">
        <f t="shared" si="3"/>
        <v>1528408</v>
      </c>
      <c r="D13" s="257">
        <f t="shared" si="4"/>
        <v>2754727</v>
      </c>
      <c r="E13" s="257">
        <f t="shared" si="5"/>
        <v>1563135</v>
      </c>
      <c r="F13" s="257">
        <f t="shared" si="6"/>
        <v>868408</v>
      </c>
      <c r="G13" s="256"/>
      <c r="H13" s="257">
        <f t="shared" si="7"/>
        <v>2720000</v>
      </c>
      <c r="I13" s="257">
        <f t="shared" si="0"/>
        <v>987147</v>
      </c>
      <c r="J13" s="103"/>
      <c r="K13" s="103">
        <v>500000</v>
      </c>
      <c r="L13" s="103">
        <v>160000</v>
      </c>
      <c r="M13" s="103">
        <v>259112</v>
      </c>
      <c r="N13" s="103">
        <v>33308</v>
      </c>
      <c r="O13" s="103">
        <v>2560000</v>
      </c>
      <c r="P13" s="103">
        <v>120900</v>
      </c>
      <c r="Q13" s="103">
        <v>73827</v>
      </c>
      <c r="R13" s="103">
        <v>573000</v>
      </c>
      <c r="S13" s="103">
        <v>2988</v>
      </c>
      <c r="T13" s="103">
        <v>0</v>
      </c>
    </row>
    <row r="14" spans="1:20">
      <c r="A14" s="238">
        <v>35581</v>
      </c>
      <c r="B14" s="257">
        <f t="shared" si="2"/>
        <v>3646787</v>
      </c>
      <c r="C14" s="257">
        <f t="shared" si="3"/>
        <v>1538537</v>
      </c>
      <c r="D14" s="257">
        <f t="shared" si="4"/>
        <v>2728811</v>
      </c>
      <c r="E14" s="257">
        <f t="shared" si="5"/>
        <v>1560681</v>
      </c>
      <c r="F14" s="257">
        <f t="shared" si="6"/>
        <v>878537</v>
      </c>
      <c r="G14" s="256"/>
      <c r="H14" s="257">
        <f t="shared" si="7"/>
        <v>2706667</v>
      </c>
      <c r="I14" s="257">
        <f t="shared" si="0"/>
        <v>940120</v>
      </c>
      <c r="K14" s="103">
        <v>500000</v>
      </c>
      <c r="L14" s="103">
        <v>160000</v>
      </c>
      <c r="M14" s="103">
        <v>224668</v>
      </c>
      <c r="N14" s="103">
        <v>33308</v>
      </c>
      <c r="O14" s="103">
        <v>2546667</v>
      </c>
      <c r="P14" s="103">
        <v>110825</v>
      </c>
      <c r="Q14" s="103">
        <v>71319</v>
      </c>
      <c r="R14" s="103">
        <v>618000</v>
      </c>
      <c r="S14" s="103">
        <v>2561</v>
      </c>
      <c r="T14" s="103">
        <v>0</v>
      </c>
    </row>
    <row r="15" spans="1:20">
      <c r="A15" s="238">
        <v>35611</v>
      </c>
      <c r="B15" s="257">
        <f t="shared" si="2"/>
        <v>3909656.6</v>
      </c>
      <c r="C15" s="257">
        <f t="shared" si="3"/>
        <v>856802.16</v>
      </c>
      <c r="D15" s="257">
        <f t="shared" si="4"/>
        <v>3054569.48</v>
      </c>
      <c r="E15" s="257">
        <f t="shared" si="5"/>
        <v>1231371.47</v>
      </c>
      <c r="F15" s="257">
        <f t="shared" si="6"/>
        <v>446802.16</v>
      </c>
      <c r="G15" s="256"/>
      <c r="H15" s="257">
        <f t="shared" ref="H15:H20" si="8">L15+O15</f>
        <v>2680000.17</v>
      </c>
      <c r="I15" s="257">
        <f t="shared" si="0"/>
        <v>1229656.4300000002</v>
      </c>
      <c r="K15" s="103">
        <v>250000</v>
      </c>
      <c r="L15" s="103">
        <v>160000</v>
      </c>
      <c r="M15" s="103">
        <v>411779.12</v>
      </c>
      <c r="N15" s="103">
        <v>33308</v>
      </c>
      <c r="O15" s="103">
        <v>2520000.17</v>
      </c>
      <c r="P15" s="103">
        <v>468341.66</v>
      </c>
      <c r="Q15" s="103">
        <v>66227.649999999994</v>
      </c>
      <c r="R15" s="103">
        <v>0</v>
      </c>
      <c r="S15" s="103">
        <v>1715.04</v>
      </c>
      <c r="T15" s="103">
        <v>0</v>
      </c>
    </row>
    <row r="16" spans="1:20">
      <c r="A16" s="238">
        <v>35734</v>
      </c>
      <c r="B16" s="257">
        <f t="shared" si="2"/>
        <v>3448703</v>
      </c>
      <c r="C16" s="257">
        <f t="shared" si="3"/>
        <v>567309.36</v>
      </c>
      <c r="D16" s="257">
        <f t="shared" si="4"/>
        <v>2881393.64</v>
      </c>
      <c r="E16" s="257">
        <f t="shared" si="5"/>
        <v>822036.14999999991</v>
      </c>
      <c r="F16" s="257">
        <f t="shared" si="6"/>
        <v>407309.36</v>
      </c>
      <c r="G16" s="256"/>
      <c r="H16" s="257">
        <f t="shared" si="8"/>
        <v>2626666.85</v>
      </c>
      <c r="I16" s="257">
        <f t="shared" si="0"/>
        <v>822036.14999999991</v>
      </c>
      <c r="K16" s="103">
        <v>0</v>
      </c>
      <c r="L16" s="103">
        <v>160000</v>
      </c>
      <c r="M16" s="103">
        <v>374001.36</v>
      </c>
      <c r="N16" s="103">
        <v>33308</v>
      </c>
      <c r="O16" s="103">
        <v>2466666.85</v>
      </c>
      <c r="P16" s="103">
        <v>359374.98</v>
      </c>
      <c r="Q16" s="103">
        <v>55351.81</v>
      </c>
      <c r="R16" s="103">
        <v>0</v>
      </c>
      <c r="S16" s="103">
        <v>0</v>
      </c>
      <c r="T16" s="103">
        <v>0</v>
      </c>
    </row>
    <row r="17" spans="1:18">
      <c r="A17" s="238">
        <v>35796</v>
      </c>
      <c r="B17" s="257">
        <f t="shared" si="2"/>
        <v>3642936.43</v>
      </c>
      <c r="C17" s="257">
        <f t="shared" si="3"/>
        <v>836950.39</v>
      </c>
      <c r="D17" s="257">
        <f t="shared" si="4"/>
        <v>2805986.04</v>
      </c>
      <c r="E17" s="257">
        <f t="shared" si="5"/>
        <v>1042936.43</v>
      </c>
      <c r="F17" s="257">
        <f t="shared" si="6"/>
        <v>376950.38999999996</v>
      </c>
      <c r="G17" s="256"/>
      <c r="H17" s="257">
        <f t="shared" si="8"/>
        <v>2600000</v>
      </c>
      <c r="I17" s="257">
        <f t="shared" ref="I17:I23" si="9">B17-H17</f>
        <v>1042936.4300000002</v>
      </c>
      <c r="K17" s="103">
        <v>300000</v>
      </c>
      <c r="L17" s="103">
        <v>160000</v>
      </c>
      <c r="M17" s="103">
        <v>355112.48</v>
      </c>
      <c r="N17" s="103">
        <v>21837.91</v>
      </c>
      <c r="O17" s="103">
        <v>2440000</v>
      </c>
      <c r="P17" s="103">
        <v>304891.64</v>
      </c>
      <c r="Q17" s="103">
        <v>61094.400000000001</v>
      </c>
    </row>
    <row r="18" spans="1:18">
      <c r="A18" s="238">
        <v>35854</v>
      </c>
      <c r="B18" s="257">
        <f t="shared" si="2"/>
        <v>3299054.4999999995</v>
      </c>
      <c r="C18" s="257">
        <f t="shared" si="3"/>
        <v>628341.59</v>
      </c>
      <c r="D18" s="257">
        <f t="shared" si="4"/>
        <v>2670712.9099999997</v>
      </c>
      <c r="E18" s="257">
        <f t="shared" si="5"/>
        <v>700899.30999999994</v>
      </c>
      <c r="F18" s="257">
        <f t="shared" si="6"/>
        <v>367525.91</v>
      </c>
      <c r="G18" s="256"/>
      <c r="H18" s="257">
        <f t="shared" si="8"/>
        <v>2598155.19</v>
      </c>
      <c r="I18" s="257">
        <f t="shared" si="9"/>
        <v>700899.30999999959</v>
      </c>
      <c r="K18" s="103">
        <v>0</v>
      </c>
      <c r="L18" s="103">
        <v>260815.68</v>
      </c>
      <c r="M18" s="103">
        <v>345688</v>
      </c>
      <c r="N18" s="103">
        <v>21837.91</v>
      </c>
      <c r="O18" s="103">
        <v>2337339.5099999998</v>
      </c>
      <c r="P18" s="103">
        <v>277649.96999999997</v>
      </c>
      <c r="Q18" s="103">
        <v>55723.43</v>
      </c>
    </row>
    <row r="19" spans="1:18">
      <c r="A19" s="238">
        <v>35946</v>
      </c>
      <c r="B19" s="257">
        <f t="shared" si="2"/>
        <v>3160654.8600000003</v>
      </c>
      <c r="C19" s="257">
        <f t="shared" si="3"/>
        <v>871078.59</v>
      </c>
      <c r="D19" s="257">
        <f t="shared" si="4"/>
        <v>2289576.2700000005</v>
      </c>
      <c r="E19" s="257">
        <f t="shared" si="5"/>
        <v>1195967.6100000001</v>
      </c>
      <c r="F19" s="257">
        <f t="shared" si="6"/>
        <v>510262.91</v>
      </c>
      <c r="G19" s="256"/>
      <c r="H19" s="257">
        <f t="shared" si="8"/>
        <v>1964687.25</v>
      </c>
      <c r="I19" s="257">
        <f t="shared" si="9"/>
        <v>1195967.6100000003</v>
      </c>
      <c r="K19" s="103">
        <v>100000</v>
      </c>
      <c r="L19" s="103">
        <v>260815.68</v>
      </c>
      <c r="M19" s="103">
        <v>488425</v>
      </c>
      <c r="N19" s="103">
        <v>21837.91</v>
      </c>
      <c r="O19" s="103">
        <v>1703871.57</v>
      </c>
      <c r="P19" s="103">
        <v>535099.96</v>
      </c>
      <c r="Q19" s="103">
        <v>50604.74</v>
      </c>
    </row>
    <row r="20" spans="1:18">
      <c r="A20" s="238">
        <v>36008</v>
      </c>
      <c r="B20" s="257">
        <f t="shared" si="2"/>
        <v>2974350.71</v>
      </c>
      <c r="C20" s="257">
        <f t="shared" si="3"/>
        <v>750927.67999999993</v>
      </c>
      <c r="D20" s="257">
        <f t="shared" si="4"/>
        <v>2223423.0299999998</v>
      </c>
      <c r="E20" s="257">
        <f t="shared" si="5"/>
        <v>1009663.46</v>
      </c>
      <c r="F20" s="257">
        <f t="shared" si="6"/>
        <v>490112</v>
      </c>
      <c r="G20" s="256"/>
      <c r="H20" s="257">
        <f t="shared" si="8"/>
        <v>1964687.25</v>
      </c>
      <c r="I20" s="257">
        <f t="shared" si="9"/>
        <v>1009663.46</v>
      </c>
      <c r="K20" s="103"/>
      <c r="L20" s="103">
        <v>260815.68</v>
      </c>
      <c r="M20" s="103">
        <v>468275</v>
      </c>
      <c r="N20" s="103">
        <v>21837</v>
      </c>
      <c r="O20" s="103">
        <v>1703871.57</v>
      </c>
      <c r="P20" s="103">
        <v>472166.62</v>
      </c>
      <c r="Q20" s="103">
        <v>47384.84</v>
      </c>
      <c r="R20" s="103"/>
    </row>
    <row r="21" spans="1:18">
      <c r="A21" s="238">
        <v>36097</v>
      </c>
      <c r="B21" s="257">
        <f t="shared" ref="B21:B30" si="10">SUM(K21:Q21)</f>
        <v>2943141.5199999996</v>
      </c>
      <c r="C21" s="257">
        <f t="shared" ref="C21:C30" si="11">K21+R21+S21+L21+M21+N21+T21</f>
        <v>738641.98</v>
      </c>
      <c r="D21" s="257">
        <f t="shared" ref="D21:D31" si="12">O21+P21+T21+Q21</f>
        <v>2204499.54</v>
      </c>
      <c r="E21" s="257">
        <f t="shared" ref="E21:E31" si="13">K21+R21+M21+S21+N21+P21+Q21</f>
        <v>978454.2699999999</v>
      </c>
      <c r="F21" s="257">
        <f t="shared" ref="F21:F31" si="14">R21+S21+M21+N21</f>
        <v>477826.3</v>
      </c>
      <c r="G21" s="256"/>
      <c r="H21" s="257">
        <f t="shared" ref="H21:H28" si="15">L21+O21</f>
        <v>1964687.25</v>
      </c>
      <c r="I21" s="257">
        <f t="shared" si="9"/>
        <v>978454.26999999955</v>
      </c>
      <c r="K21" s="103"/>
      <c r="L21" s="103">
        <v>260815.68</v>
      </c>
      <c r="M21" s="103">
        <v>438050</v>
      </c>
      <c r="N21" s="103">
        <v>39776.300000000003</v>
      </c>
      <c r="O21" s="103">
        <v>1703871.57</v>
      </c>
      <c r="P21" s="103">
        <v>377766.61</v>
      </c>
      <c r="Q21" s="103">
        <v>122861.36</v>
      </c>
      <c r="R21" s="103"/>
    </row>
    <row r="22" spans="1:18">
      <c r="A22" s="238">
        <v>36221</v>
      </c>
      <c r="B22" s="257">
        <f t="shared" si="10"/>
        <v>3037344.4299999997</v>
      </c>
      <c r="C22" s="257">
        <f t="shared" si="11"/>
        <v>689653.29999999993</v>
      </c>
      <c r="D22" s="257">
        <f t="shared" si="12"/>
        <v>2347691.13</v>
      </c>
      <c r="E22" s="257">
        <f t="shared" si="13"/>
        <v>773339.09</v>
      </c>
      <c r="F22" s="257">
        <f t="shared" si="14"/>
        <v>428837.62</v>
      </c>
      <c r="G22" s="256"/>
      <c r="H22" s="257">
        <f t="shared" si="15"/>
        <v>2264005.34</v>
      </c>
      <c r="I22" s="257">
        <f t="shared" si="9"/>
        <v>773339.08999999985</v>
      </c>
      <c r="K22" s="103"/>
      <c r="L22" s="103">
        <v>260815.68</v>
      </c>
      <c r="M22" s="103">
        <v>387675</v>
      </c>
      <c r="N22" s="103">
        <v>41162.620000000003</v>
      </c>
      <c r="O22" s="103">
        <v>2003189.66</v>
      </c>
      <c r="P22" s="103">
        <v>220433.26</v>
      </c>
      <c r="Q22" s="103">
        <v>124068.21</v>
      </c>
      <c r="R22" s="103"/>
    </row>
    <row r="23" spans="1:18">
      <c r="A23" s="238">
        <v>36374</v>
      </c>
      <c r="B23" s="257">
        <f t="shared" si="10"/>
        <v>3493919.65</v>
      </c>
      <c r="C23" s="257">
        <f t="shared" si="11"/>
        <v>1134944.8799999999</v>
      </c>
      <c r="D23" s="257">
        <f t="shared" si="12"/>
        <v>2358974.77</v>
      </c>
      <c r="E23" s="257">
        <f t="shared" si="13"/>
        <v>1479914.31</v>
      </c>
      <c r="F23" s="257">
        <f t="shared" si="14"/>
        <v>574129.19999999995</v>
      </c>
      <c r="G23" s="256"/>
      <c r="H23" s="257">
        <f t="shared" si="15"/>
        <v>2014005.3399999999</v>
      </c>
      <c r="I23" s="257">
        <f t="shared" si="9"/>
        <v>1479914.31</v>
      </c>
      <c r="K23" s="103">
        <v>300000</v>
      </c>
      <c r="L23" s="103">
        <v>260815.68</v>
      </c>
      <c r="M23" s="103">
        <v>532966.57999999996</v>
      </c>
      <c r="N23" s="103">
        <v>41162.620000000003</v>
      </c>
      <c r="O23" s="103">
        <v>1753189.66</v>
      </c>
      <c r="P23" s="103">
        <v>500200</v>
      </c>
      <c r="Q23" s="103">
        <v>105585.11</v>
      </c>
      <c r="R23" s="103"/>
    </row>
    <row r="24" spans="1:18">
      <c r="A24" s="238">
        <v>36528</v>
      </c>
      <c r="B24" s="257">
        <f t="shared" si="10"/>
        <v>3161647.7199999997</v>
      </c>
      <c r="C24" s="257">
        <f t="shared" si="11"/>
        <v>974676.55999999994</v>
      </c>
      <c r="D24" s="257">
        <f t="shared" si="12"/>
        <v>2186971.16</v>
      </c>
      <c r="E24" s="257">
        <f t="shared" si="13"/>
        <v>1147646.8799999999</v>
      </c>
      <c r="F24" s="257">
        <f t="shared" si="14"/>
        <v>513860.88</v>
      </c>
      <c r="G24" s="256"/>
      <c r="H24" s="257">
        <f t="shared" si="15"/>
        <v>2014000.8399999999</v>
      </c>
      <c r="I24" s="257">
        <f t="shared" ref="I24:I30" si="16">B24-H24</f>
        <v>1147646.8799999999</v>
      </c>
      <c r="K24" s="103">
        <v>200000</v>
      </c>
      <c r="L24" s="103">
        <v>260815.68</v>
      </c>
      <c r="M24" s="103">
        <v>461433</v>
      </c>
      <c r="N24" s="103">
        <v>52427.88</v>
      </c>
      <c r="O24" s="103">
        <v>1753185.16</v>
      </c>
      <c r="P24" s="103">
        <v>329400</v>
      </c>
      <c r="Q24" s="103">
        <v>104386</v>
      </c>
      <c r="R24" s="103"/>
    </row>
    <row r="25" spans="1:18">
      <c r="A25" s="238">
        <v>36616</v>
      </c>
      <c r="B25" s="257">
        <f t="shared" si="10"/>
        <v>3317457.39</v>
      </c>
      <c r="C25" s="257">
        <f t="shared" si="11"/>
        <v>893210.11</v>
      </c>
      <c r="D25" s="257">
        <f t="shared" si="12"/>
        <v>2424247.2800000003</v>
      </c>
      <c r="E25" s="257">
        <f t="shared" si="13"/>
        <v>1302856.5500000003</v>
      </c>
      <c r="F25" s="257">
        <f t="shared" si="14"/>
        <v>632394.43000000005</v>
      </c>
      <c r="G25" s="256"/>
      <c r="H25" s="257">
        <f t="shared" si="15"/>
        <v>2014600.8399999999</v>
      </c>
      <c r="I25" s="257">
        <f t="shared" si="16"/>
        <v>1302856.5500000003</v>
      </c>
      <c r="K25" s="103"/>
      <c r="L25" s="103">
        <v>260815.68</v>
      </c>
      <c r="M25" s="103">
        <v>579966.55000000005</v>
      </c>
      <c r="N25" s="103">
        <v>52427.88</v>
      </c>
      <c r="O25" s="103">
        <v>1753785.16</v>
      </c>
      <c r="P25" s="103">
        <v>578600</v>
      </c>
      <c r="Q25" s="103">
        <v>91862.12</v>
      </c>
      <c r="R25" s="103"/>
    </row>
    <row r="26" spans="1:18">
      <c r="A26" s="238">
        <v>36802</v>
      </c>
      <c r="B26" s="257">
        <f t="shared" si="10"/>
        <v>2900971.6799999997</v>
      </c>
      <c r="C26" s="257">
        <f t="shared" si="11"/>
        <v>820115.67999999993</v>
      </c>
      <c r="D26" s="257">
        <f t="shared" si="12"/>
        <v>2080856</v>
      </c>
      <c r="E26" s="257">
        <f t="shared" si="13"/>
        <v>1086971</v>
      </c>
      <c r="F26" s="257">
        <f t="shared" si="14"/>
        <v>559300</v>
      </c>
      <c r="G26" s="256"/>
      <c r="H26" s="257">
        <f t="shared" si="15"/>
        <v>1814000.68</v>
      </c>
      <c r="I26" s="257">
        <f t="shared" si="16"/>
        <v>1086970.9999999998</v>
      </c>
      <c r="K26" s="103"/>
      <c r="L26" s="103">
        <v>260815.68</v>
      </c>
      <c r="M26" s="103">
        <v>491500</v>
      </c>
      <c r="N26" s="103">
        <v>67800</v>
      </c>
      <c r="O26" s="103">
        <v>1553185</v>
      </c>
      <c r="P26" s="103">
        <v>415400</v>
      </c>
      <c r="Q26" s="103">
        <v>112271</v>
      </c>
      <c r="R26" s="103"/>
    </row>
    <row r="27" spans="1:18">
      <c r="A27" s="238">
        <v>36954</v>
      </c>
      <c r="B27" s="257">
        <f t="shared" si="10"/>
        <v>2305612.96</v>
      </c>
      <c r="C27" s="257">
        <f t="shared" si="11"/>
        <v>744497.23</v>
      </c>
      <c r="D27" s="257">
        <f t="shared" si="12"/>
        <v>1561115.73</v>
      </c>
      <c r="E27" s="257">
        <f t="shared" si="13"/>
        <v>792098.06</v>
      </c>
      <c r="F27" s="257">
        <f t="shared" si="14"/>
        <v>483681.55</v>
      </c>
      <c r="G27" s="256"/>
      <c r="H27" s="257">
        <f t="shared" si="15"/>
        <v>1513514.9</v>
      </c>
      <c r="I27" s="257">
        <f t="shared" si="16"/>
        <v>792098.06</v>
      </c>
      <c r="K27" s="103"/>
      <c r="L27" s="103">
        <v>260815.68</v>
      </c>
      <c r="M27" s="103">
        <v>405700</v>
      </c>
      <c r="N27" s="103">
        <v>77981.55</v>
      </c>
      <c r="O27" s="103">
        <v>1252699.22</v>
      </c>
      <c r="P27" s="103">
        <v>219800</v>
      </c>
      <c r="Q27" s="103">
        <v>88616.51</v>
      </c>
      <c r="R27" s="103"/>
    </row>
    <row r="28" spans="1:18">
      <c r="A28" s="238">
        <v>36985</v>
      </c>
      <c r="B28" s="257">
        <f t="shared" si="10"/>
        <v>2299554.56</v>
      </c>
      <c r="C28" s="257">
        <f t="shared" si="11"/>
        <v>744497.23</v>
      </c>
      <c r="D28" s="257">
        <f t="shared" si="12"/>
        <v>1555057.33</v>
      </c>
      <c r="E28" s="257">
        <f t="shared" si="13"/>
        <v>786039.66</v>
      </c>
      <c r="F28" s="257">
        <f t="shared" si="14"/>
        <v>483681.55</v>
      </c>
      <c r="G28" s="256"/>
      <c r="H28" s="257">
        <f t="shared" si="15"/>
        <v>1513514.9</v>
      </c>
      <c r="I28" s="257">
        <f t="shared" si="16"/>
        <v>786039.66000000015</v>
      </c>
      <c r="K28" s="103"/>
      <c r="L28" s="103">
        <v>260815.68</v>
      </c>
      <c r="M28" s="103">
        <v>405700</v>
      </c>
      <c r="N28" s="103">
        <v>77981.55</v>
      </c>
      <c r="O28" s="103">
        <v>1252699.22</v>
      </c>
      <c r="P28" s="103">
        <v>219800</v>
      </c>
      <c r="Q28" s="103">
        <v>82558.11</v>
      </c>
      <c r="R28" s="103"/>
    </row>
    <row r="29" spans="1:18">
      <c r="A29" s="238">
        <v>37015</v>
      </c>
      <c r="B29" s="257">
        <f t="shared" si="10"/>
        <v>2627955.31</v>
      </c>
      <c r="C29" s="257">
        <f t="shared" si="11"/>
        <v>867997.23</v>
      </c>
      <c r="D29" s="257">
        <f t="shared" si="12"/>
        <v>1759958.08</v>
      </c>
      <c r="E29" s="257">
        <f t="shared" si="13"/>
        <v>1114440.4100000001</v>
      </c>
      <c r="F29" s="257">
        <f t="shared" si="14"/>
        <v>607181.55000000005</v>
      </c>
      <c r="G29" s="256"/>
      <c r="H29" s="257">
        <f t="shared" ref="H29:H35" si="17">L29+O29</f>
        <v>1513514.9</v>
      </c>
      <c r="I29" s="257">
        <f t="shared" si="16"/>
        <v>1114440.4100000001</v>
      </c>
      <c r="K29" s="103"/>
      <c r="L29" s="103">
        <v>260815.68</v>
      </c>
      <c r="M29" s="103">
        <v>529200</v>
      </c>
      <c r="N29" s="103">
        <v>77981.55</v>
      </c>
      <c r="O29" s="103">
        <v>1252699.22</v>
      </c>
      <c r="P29" s="103">
        <v>430600</v>
      </c>
      <c r="Q29" s="103">
        <v>76658.86</v>
      </c>
      <c r="R29" s="103"/>
    </row>
    <row r="30" spans="1:18">
      <c r="A30" s="238">
        <v>37046</v>
      </c>
      <c r="B30" s="257">
        <f t="shared" si="10"/>
        <v>2566622.23</v>
      </c>
      <c r="C30" s="257">
        <f t="shared" si="11"/>
        <v>833997.23</v>
      </c>
      <c r="D30" s="257">
        <f t="shared" si="12"/>
        <v>1732625</v>
      </c>
      <c r="E30" s="257">
        <f t="shared" si="13"/>
        <v>1053107.55</v>
      </c>
      <c r="F30" s="257">
        <f t="shared" si="14"/>
        <v>573181.55000000005</v>
      </c>
      <c r="G30" s="256"/>
      <c r="H30" s="257">
        <f t="shared" si="17"/>
        <v>1513514.68</v>
      </c>
      <c r="I30" s="257">
        <f t="shared" si="16"/>
        <v>1053107.55</v>
      </c>
      <c r="K30" s="103"/>
      <c r="L30" s="103">
        <v>260815.68</v>
      </c>
      <c r="M30" s="103">
        <v>495200</v>
      </c>
      <c r="N30" s="103">
        <v>77981.55</v>
      </c>
      <c r="O30" s="103">
        <v>1252699</v>
      </c>
      <c r="P30" s="103">
        <v>409000</v>
      </c>
      <c r="Q30" s="103">
        <v>70926</v>
      </c>
      <c r="R30" s="103"/>
    </row>
    <row r="31" spans="1:18">
      <c r="A31" s="238">
        <v>37256</v>
      </c>
      <c r="B31" s="257">
        <f t="shared" ref="B31:B36" si="18">SUM(K31:Q31)</f>
        <v>2945850.9299999997</v>
      </c>
      <c r="C31" s="257">
        <f t="shared" ref="C31:C36" si="19">K31+R31+S31+L31+M31+N31+T31</f>
        <v>1382787.73</v>
      </c>
      <c r="D31" s="257">
        <f t="shared" si="12"/>
        <v>1563063.2</v>
      </c>
      <c r="E31" s="257">
        <f t="shared" si="13"/>
        <v>1382358.18</v>
      </c>
      <c r="F31" s="257">
        <f t="shared" si="14"/>
        <v>421972.05</v>
      </c>
      <c r="G31" s="256"/>
      <c r="H31" s="257">
        <f t="shared" si="17"/>
        <v>1563492.75</v>
      </c>
      <c r="I31" s="257">
        <f t="shared" ref="I31:I36" si="20">B31-H31</f>
        <v>1382358.1799999997</v>
      </c>
      <c r="K31" s="103">
        <v>700000</v>
      </c>
      <c r="L31" s="103">
        <v>260815.68</v>
      </c>
      <c r="M31" s="103">
        <v>376200</v>
      </c>
      <c r="N31" s="103">
        <v>45772.05</v>
      </c>
      <c r="O31" s="103">
        <v>1302677.07</v>
      </c>
      <c r="P31" s="103">
        <v>219300</v>
      </c>
      <c r="Q31" s="103">
        <v>41086.129999999997</v>
      </c>
      <c r="R31" s="103"/>
    </row>
    <row r="32" spans="1:18">
      <c r="A32" s="238">
        <v>37899</v>
      </c>
      <c r="B32" s="257">
        <f t="shared" si="18"/>
        <v>3001690.5100000002</v>
      </c>
      <c r="C32" s="257">
        <f t="shared" si="19"/>
        <v>706119.26</v>
      </c>
      <c r="D32" s="257">
        <f t="shared" ref="D32:D39" si="21">O32+P32+T32+Q32</f>
        <v>2295571.25</v>
      </c>
      <c r="E32" s="257">
        <f t="shared" ref="E32:E39" si="22">K32+R32+M32+S32+N32+P32+Q32</f>
        <v>1042784.46</v>
      </c>
      <c r="F32" s="257">
        <f t="shared" ref="F32:F39" si="23">R32+S32+P32+N32</f>
        <v>502784.38</v>
      </c>
      <c r="G32" s="256"/>
      <c r="H32" s="257">
        <f t="shared" si="17"/>
        <v>1958906.05</v>
      </c>
      <c r="I32" s="257">
        <f t="shared" si="20"/>
        <v>1042784.4600000002</v>
      </c>
      <c r="K32" s="103"/>
      <c r="L32" s="103">
        <v>150000</v>
      </c>
      <c r="M32" s="103">
        <v>540000.07999999996</v>
      </c>
      <c r="N32" s="103">
        <v>16119.18</v>
      </c>
      <c r="O32" s="103">
        <v>1808906.05</v>
      </c>
      <c r="P32" s="103">
        <v>486665.2</v>
      </c>
      <c r="R32" s="103"/>
    </row>
    <row r="33" spans="1:18">
      <c r="A33" s="238">
        <v>37718</v>
      </c>
      <c r="B33" s="257">
        <f t="shared" si="18"/>
        <v>3811764.1599999992</v>
      </c>
      <c r="C33" s="257">
        <f t="shared" si="19"/>
        <v>2199119.5799999996</v>
      </c>
      <c r="D33" s="257">
        <f t="shared" si="21"/>
        <v>1612644.58</v>
      </c>
      <c r="E33" s="257">
        <f t="shared" si="22"/>
        <v>2574303.7800000003</v>
      </c>
      <c r="F33" s="257">
        <f t="shared" si="23"/>
        <v>672703.7</v>
      </c>
      <c r="G33" s="256"/>
      <c r="H33" s="257">
        <f t="shared" si="17"/>
        <v>1237460.3799999999</v>
      </c>
      <c r="I33" s="257">
        <f t="shared" si="20"/>
        <v>2574303.7799999993</v>
      </c>
      <c r="K33" s="103">
        <v>1300000</v>
      </c>
      <c r="L33" s="103">
        <v>260815.68</v>
      </c>
      <c r="M33" s="103">
        <v>601600.07999999996</v>
      </c>
      <c r="N33" s="103">
        <v>36703.82</v>
      </c>
      <c r="O33" s="103">
        <v>976644.7</v>
      </c>
      <c r="P33" s="103">
        <v>635999.88</v>
      </c>
      <c r="Q33" s="103"/>
      <c r="R33" s="103"/>
    </row>
    <row r="34" spans="1:18">
      <c r="A34" s="238">
        <v>38084</v>
      </c>
      <c r="B34" s="257">
        <f t="shared" si="18"/>
        <v>3142109.79</v>
      </c>
      <c r="C34" s="257">
        <f t="shared" si="19"/>
        <v>983331.62</v>
      </c>
      <c r="D34" s="257">
        <f t="shared" si="21"/>
        <v>2158778.17</v>
      </c>
      <c r="E34" s="257">
        <f t="shared" si="22"/>
        <v>1557453.4200000002</v>
      </c>
      <c r="F34" s="257">
        <f t="shared" si="23"/>
        <v>696341.7</v>
      </c>
      <c r="G34" s="256"/>
      <c r="H34" s="257">
        <f t="shared" si="17"/>
        <v>1584656.37</v>
      </c>
      <c r="I34" s="257">
        <f t="shared" si="20"/>
        <v>1557453.42</v>
      </c>
      <c r="K34" s="103">
        <v>100000</v>
      </c>
      <c r="L34" s="103">
        <v>150000</v>
      </c>
      <c r="M34" s="103">
        <v>715343.92</v>
      </c>
      <c r="N34" s="103">
        <v>17987.7</v>
      </c>
      <c r="O34" s="103">
        <v>1434656.37</v>
      </c>
      <c r="P34" s="103">
        <v>678354</v>
      </c>
      <c r="Q34" s="103">
        <v>45767.8</v>
      </c>
      <c r="R34" s="103"/>
    </row>
    <row r="35" spans="1:18">
      <c r="A35" s="238">
        <v>38168</v>
      </c>
      <c r="B35" s="257">
        <f t="shared" si="18"/>
        <v>3708775.0500000003</v>
      </c>
      <c r="C35" s="257">
        <f t="shared" si="19"/>
        <v>1702208.7100000002</v>
      </c>
      <c r="D35" s="257">
        <f t="shared" si="21"/>
        <v>2006566.34</v>
      </c>
      <c r="E35" s="257">
        <f t="shared" si="22"/>
        <v>2161618.6800000002</v>
      </c>
      <c r="F35" s="257">
        <f t="shared" si="23"/>
        <v>580757.80000000005</v>
      </c>
      <c r="G35" s="256"/>
      <c r="H35" s="257">
        <f t="shared" si="17"/>
        <v>1547156.37</v>
      </c>
      <c r="I35" s="257">
        <f t="shared" si="20"/>
        <v>2161618.6800000002</v>
      </c>
      <c r="K35" s="103">
        <v>900000</v>
      </c>
      <c r="L35" s="103">
        <v>150000</v>
      </c>
      <c r="M35" s="103">
        <v>638843.91</v>
      </c>
      <c r="N35" s="103">
        <v>13364.8</v>
      </c>
      <c r="O35" s="103">
        <v>1397156.37</v>
      </c>
      <c r="P35" s="103">
        <v>567393</v>
      </c>
      <c r="Q35" s="103">
        <v>42016.97</v>
      </c>
      <c r="R35" s="103"/>
    </row>
    <row r="36" spans="1:18">
      <c r="A36" s="238">
        <v>38199</v>
      </c>
      <c r="B36" s="257">
        <f t="shared" si="18"/>
        <v>2493637.91</v>
      </c>
      <c r="C36" s="257">
        <f t="shared" si="19"/>
        <v>800467.91</v>
      </c>
      <c r="D36" s="257">
        <f t="shared" si="21"/>
        <v>1693170</v>
      </c>
      <c r="E36" s="257">
        <f t="shared" si="22"/>
        <v>1258981.9100000001</v>
      </c>
      <c r="F36" s="257">
        <f t="shared" si="23"/>
        <v>579017</v>
      </c>
      <c r="G36" s="256"/>
      <c r="H36" s="257">
        <f t="shared" ref="H36:H42" si="24">L36+O36</f>
        <v>1234656</v>
      </c>
      <c r="I36" s="257">
        <f t="shared" si="20"/>
        <v>1258981.9100000001</v>
      </c>
      <c r="K36" s="103"/>
      <c r="L36" s="103">
        <v>150000</v>
      </c>
      <c r="M36" s="103">
        <v>638843.91</v>
      </c>
      <c r="N36" s="103">
        <v>11624</v>
      </c>
      <c r="O36" s="103">
        <v>1084656</v>
      </c>
      <c r="P36" s="103">
        <v>567393</v>
      </c>
      <c r="Q36" s="103">
        <v>41121</v>
      </c>
      <c r="R36" s="103"/>
    </row>
    <row r="37" spans="1:18">
      <c r="A37" s="238">
        <v>38321</v>
      </c>
      <c r="B37" s="257">
        <f t="shared" ref="B37:B42" si="25">SUM(K37:Q37)</f>
        <v>1260261.74</v>
      </c>
      <c r="C37" s="257">
        <f t="shared" ref="C37:C42" si="26">K37+R37+S37+L37+M37+N37+T37</f>
        <v>691299.3</v>
      </c>
      <c r="D37" s="257">
        <f t="shared" si="21"/>
        <v>568962.43999999994</v>
      </c>
      <c r="E37" s="257">
        <f t="shared" si="22"/>
        <v>960623.79</v>
      </c>
      <c r="F37" s="257">
        <f t="shared" si="23"/>
        <v>393246.74</v>
      </c>
      <c r="G37" s="256"/>
      <c r="H37" s="257">
        <f t="shared" si="24"/>
        <v>299637.95</v>
      </c>
      <c r="I37" s="257">
        <f t="shared" ref="I37:I42" si="27">B37-H37</f>
        <v>960623.79</v>
      </c>
      <c r="K37" s="103"/>
      <c r="L37" s="103">
        <v>150000</v>
      </c>
      <c r="M37" s="103">
        <v>530510.56000000006</v>
      </c>
      <c r="N37" s="103">
        <v>10788.74</v>
      </c>
      <c r="O37" s="103">
        <v>149637.95000000001</v>
      </c>
      <c r="P37" s="103">
        <v>382458</v>
      </c>
      <c r="Q37" s="103">
        <v>36866.49</v>
      </c>
      <c r="R37" s="103"/>
    </row>
    <row r="38" spans="1:18">
      <c r="A38" s="238">
        <v>38572</v>
      </c>
      <c r="B38" s="257">
        <f t="shared" si="25"/>
        <v>1418863</v>
      </c>
      <c r="C38" s="257">
        <f t="shared" si="26"/>
        <v>699863</v>
      </c>
      <c r="D38" s="257">
        <f t="shared" si="21"/>
        <v>719000</v>
      </c>
      <c r="E38" s="257">
        <f t="shared" si="22"/>
        <v>1418863</v>
      </c>
      <c r="F38" s="257">
        <f t="shared" si="23"/>
        <v>665695</v>
      </c>
      <c r="G38" s="256"/>
      <c r="H38" s="257">
        <f t="shared" si="24"/>
        <v>0</v>
      </c>
      <c r="I38" s="257">
        <f t="shared" si="27"/>
        <v>1418863</v>
      </c>
      <c r="K38" s="103">
        <v>0</v>
      </c>
      <c r="L38" s="103">
        <v>0</v>
      </c>
      <c r="M38" s="103">
        <v>677495</v>
      </c>
      <c r="N38" s="103">
        <v>22368</v>
      </c>
      <c r="O38" s="103">
        <v>0</v>
      </c>
      <c r="P38" s="103">
        <v>643327</v>
      </c>
      <c r="Q38" s="103">
        <v>75673</v>
      </c>
      <c r="R38" s="103"/>
    </row>
    <row r="39" spans="1:18">
      <c r="A39" s="238">
        <v>38969</v>
      </c>
      <c r="B39" s="257">
        <f t="shared" si="25"/>
        <v>676699.75999999989</v>
      </c>
      <c r="C39" s="257">
        <f t="shared" si="26"/>
        <v>448506.63999999996</v>
      </c>
      <c r="D39" s="257">
        <f t="shared" si="21"/>
        <v>228193.12</v>
      </c>
      <c r="E39" s="257">
        <f t="shared" si="22"/>
        <v>676542.47</v>
      </c>
      <c r="F39" s="257">
        <f t="shared" si="23"/>
        <v>196956.12</v>
      </c>
      <c r="G39" s="256"/>
      <c r="H39" s="257">
        <f t="shared" si="24"/>
        <v>157.29</v>
      </c>
      <c r="I39" s="257">
        <f t="shared" si="27"/>
        <v>676542.46999999986</v>
      </c>
      <c r="K39" s="103"/>
      <c r="L39" s="103">
        <v>157.29</v>
      </c>
      <c r="M39" s="103">
        <v>424253</v>
      </c>
      <c r="N39" s="103">
        <v>24096.35</v>
      </c>
      <c r="O39" s="103">
        <v>0</v>
      </c>
      <c r="P39" s="103">
        <v>172859.77</v>
      </c>
      <c r="Q39" s="103">
        <v>55333.35</v>
      </c>
      <c r="R39" s="103"/>
    </row>
    <row r="40" spans="1:18">
      <c r="A40" s="238">
        <v>38990</v>
      </c>
      <c r="B40" s="257">
        <f t="shared" si="25"/>
        <v>674558.49</v>
      </c>
      <c r="C40" s="257">
        <f t="shared" si="26"/>
        <v>448349.54</v>
      </c>
      <c r="D40" s="257">
        <f>O40+P40+T40+Q40</f>
        <v>226208.94999999998</v>
      </c>
      <c r="E40" s="257">
        <f>K40+R40+M40+S40+N40+P40+Q40</f>
        <v>674558.3</v>
      </c>
      <c r="F40" s="257">
        <f>R40+S40+P40+N40</f>
        <v>196956.12</v>
      </c>
      <c r="G40" s="256"/>
      <c r="H40" s="257">
        <f t="shared" si="24"/>
        <v>0.19</v>
      </c>
      <c r="I40" s="257">
        <f t="shared" si="27"/>
        <v>674558.3</v>
      </c>
      <c r="K40" s="103"/>
      <c r="L40" s="103">
        <v>0.19</v>
      </c>
      <c r="M40" s="103">
        <v>424253</v>
      </c>
      <c r="N40" s="103">
        <v>24096.35</v>
      </c>
      <c r="O40" s="103">
        <v>0</v>
      </c>
      <c r="P40" s="103">
        <v>172859.77</v>
      </c>
      <c r="Q40" s="103">
        <v>53349.18</v>
      </c>
      <c r="R40" s="103"/>
    </row>
    <row r="41" spans="1:18">
      <c r="A41" s="238">
        <v>39081</v>
      </c>
      <c r="B41" s="257">
        <f t="shared" si="25"/>
        <v>525422.79</v>
      </c>
      <c r="C41" s="257">
        <f t="shared" si="26"/>
        <v>383757.94</v>
      </c>
      <c r="D41" s="257">
        <f>O41+P41+T41+Q41</f>
        <v>141664.85</v>
      </c>
      <c r="E41" s="257">
        <f>K41+R41+M41+S41+N41+P41+Q41</f>
        <v>525422.30000000005</v>
      </c>
      <c r="F41" s="257">
        <f>R41+S41+P41+N41</f>
        <v>122241.47</v>
      </c>
      <c r="G41" s="256"/>
      <c r="H41" s="257">
        <f t="shared" si="24"/>
        <v>0.49</v>
      </c>
      <c r="I41" s="257">
        <f t="shared" si="27"/>
        <v>525422.30000000005</v>
      </c>
      <c r="K41" s="103"/>
      <c r="L41" s="103">
        <v>0.49</v>
      </c>
      <c r="M41" s="103">
        <v>360293</v>
      </c>
      <c r="N41" s="103">
        <v>23464.45</v>
      </c>
      <c r="O41" s="103"/>
      <c r="P41" s="103">
        <v>98777.02</v>
      </c>
      <c r="Q41" s="103">
        <v>42887.83</v>
      </c>
      <c r="R41" s="103"/>
    </row>
    <row r="42" spans="1:18">
      <c r="A42" s="238">
        <v>38775</v>
      </c>
      <c r="B42" s="257">
        <f t="shared" si="25"/>
        <v>579441.70000000007</v>
      </c>
      <c r="C42" s="257">
        <f t="shared" si="26"/>
        <v>491117.15</v>
      </c>
      <c r="D42" s="257">
        <f>O42+P42+T42+Q42</f>
        <v>88324.549999999988</v>
      </c>
      <c r="E42" s="257">
        <f>K42+R42+M42+S42+N42+P42+Q42</f>
        <v>429441.70000000007</v>
      </c>
      <c r="F42" s="257">
        <f>R42+S42+P42+N42</f>
        <v>72852.67</v>
      </c>
      <c r="G42" s="256"/>
      <c r="H42" s="257">
        <f t="shared" si="24"/>
        <v>150000</v>
      </c>
      <c r="I42" s="257">
        <f t="shared" si="27"/>
        <v>429441.70000000007</v>
      </c>
      <c r="K42" s="103"/>
      <c r="L42" s="103">
        <v>150000</v>
      </c>
      <c r="M42" s="103">
        <v>317653</v>
      </c>
      <c r="N42" s="103">
        <v>23464.15</v>
      </c>
      <c r="O42" s="103"/>
      <c r="P42" s="103">
        <v>49388.52</v>
      </c>
      <c r="Q42" s="103">
        <v>38936.03</v>
      </c>
      <c r="R42" s="103"/>
    </row>
    <row r="43" spans="1:18">
      <c r="A43" s="238">
        <v>39233</v>
      </c>
      <c r="B43" s="257">
        <f t="shared" ref="B43" si="28">SUM(K43:Q43)</f>
        <v>1056696.08</v>
      </c>
      <c r="C43" s="257">
        <f t="shared" ref="C43" si="29">K43+R43+S43+L43+M43+N43+T43</f>
        <v>321075.61</v>
      </c>
      <c r="D43" s="257">
        <f>O43+P43+T43+Q43</f>
        <v>735620.47</v>
      </c>
      <c r="E43" s="257">
        <f>K43+R43+M43+S43+N43+P43+Q43</f>
        <v>300918.3</v>
      </c>
      <c r="F43" s="257">
        <f>R43+S43+P43+N43</f>
        <v>23464.45</v>
      </c>
      <c r="G43" s="256"/>
      <c r="H43" s="257">
        <f t="shared" ref="H43" si="30">L43+O43</f>
        <v>755777.78</v>
      </c>
      <c r="I43" s="257">
        <f t="shared" ref="I43" si="31">B43-H43</f>
        <v>300918.30000000005</v>
      </c>
      <c r="K43" s="103"/>
      <c r="L43" s="103">
        <v>50666.64</v>
      </c>
      <c r="M43" s="103">
        <v>246944.52</v>
      </c>
      <c r="N43" s="103">
        <v>23464.45</v>
      </c>
      <c r="O43" s="103">
        <v>705111.14</v>
      </c>
      <c r="P43" s="103"/>
      <c r="Q43" s="103">
        <v>30509.33</v>
      </c>
      <c r="R43" s="103"/>
    </row>
    <row r="44" spans="1:18">
      <c r="A44" s="238">
        <v>40098</v>
      </c>
      <c r="B44" s="257"/>
      <c r="C44" s="257"/>
      <c r="D44" s="257"/>
      <c r="E44" s="257"/>
      <c r="F44" s="257"/>
      <c r="G44" s="256"/>
      <c r="H44" s="257"/>
      <c r="I44" s="257"/>
      <c r="K44" s="103"/>
      <c r="L44" s="103"/>
      <c r="M44" s="103"/>
      <c r="N44" s="103"/>
      <c r="O44" s="103"/>
      <c r="P44" s="103"/>
      <c r="Q44" s="103"/>
      <c r="R44" s="103"/>
    </row>
    <row r="45" spans="1:18">
      <c r="B45" s="257"/>
      <c r="C45" s="257"/>
      <c r="D45" s="257"/>
      <c r="E45" s="257"/>
      <c r="F45" s="257"/>
      <c r="G45" s="256"/>
      <c r="H45" s="257"/>
      <c r="I45" s="257"/>
      <c r="K45" s="103"/>
      <c r="L45" s="103"/>
      <c r="M45" s="103"/>
      <c r="N45" s="103"/>
      <c r="O45" s="103"/>
      <c r="P45" s="103"/>
      <c r="Q45" s="103"/>
      <c r="R45" s="103"/>
    </row>
    <row r="46" spans="1:18">
      <c r="B46" s="257"/>
      <c r="C46" s="257"/>
      <c r="D46" s="257"/>
      <c r="E46" s="257"/>
      <c r="F46" s="257"/>
      <c r="G46" s="256"/>
      <c r="H46" s="257"/>
      <c r="I46" s="257"/>
      <c r="K46" s="103"/>
      <c r="L46" s="103"/>
      <c r="M46" s="103"/>
      <c r="N46" s="103"/>
      <c r="O46" s="103"/>
      <c r="P46" s="103"/>
      <c r="Q46" s="103"/>
      <c r="R46" s="103"/>
    </row>
    <row r="47" spans="1:18">
      <c r="B47" s="257"/>
      <c r="C47" s="257"/>
      <c r="D47" s="257"/>
      <c r="E47" s="257"/>
      <c r="F47" s="257"/>
      <c r="G47" s="256"/>
      <c r="H47" s="257"/>
      <c r="I47" s="257"/>
      <c r="K47" s="103"/>
      <c r="L47" s="103"/>
      <c r="M47" s="103"/>
      <c r="N47" s="103"/>
      <c r="O47" s="103"/>
      <c r="P47" s="103"/>
      <c r="Q47" s="103"/>
      <c r="R47" s="103"/>
    </row>
    <row r="48" spans="1:18">
      <c r="B48" s="257"/>
      <c r="C48" s="257"/>
      <c r="D48" s="257"/>
      <c r="E48" s="257"/>
      <c r="F48" s="257"/>
      <c r="G48" s="256"/>
      <c r="H48" s="257"/>
      <c r="I48" s="257"/>
      <c r="K48" s="103"/>
      <c r="L48" s="103"/>
      <c r="M48" s="103"/>
      <c r="N48" s="103"/>
      <c r="O48" s="103"/>
      <c r="P48" s="103"/>
      <c r="Q48" s="103"/>
      <c r="R48" s="103"/>
    </row>
    <row r="50" spans="1:17">
      <c r="B50" s="238">
        <v>33207</v>
      </c>
      <c r="C50" s="238">
        <v>33572</v>
      </c>
      <c r="D50" s="238">
        <v>33938</v>
      </c>
      <c r="E50" s="238">
        <v>34303</v>
      </c>
      <c r="F50" s="238">
        <v>34668</v>
      </c>
      <c r="G50" s="238">
        <v>35033</v>
      </c>
      <c r="H50" s="238">
        <v>35216</v>
      </c>
      <c r="I50" s="238">
        <v>35246</v>
      </c>
      <c r="J50" s="238">
        <v>35277</v>
      </c>
      <c r="K50" s="238">
        <v>35308</v>
      </c>
      <c r="L50" s="238">
        <v>35461</v>
      </c>
      <c r="M50" s="238">
        <v>35520</v>
      </c>
      <c r="N50" s="238">
        <v>35581</v>
      </c>
      <c r="O50" s="238">
        <v>35611</v>
      </c>
      <c r="P50" s="238">
        <v>35703</v>
      </c>
      <c r="Q50" s="238">
        <v>35734</v>
      </c>
    </row>
    <row r="51" spans="1:17">
      <c r="B51" s="103">
        <f t="shared" ref="B51:H51" si="32">SUM(B53:B55)</f>
        <v>7139148</v>
      </c>
      <c r="C51" s="103">
        <f t="shared" si="32"/>
        <v>7374765</v>
      </c>
      <c r="D51" s="103">
        <f t="shared" si="32"/>
        <v>6168132</v>
      </c>
      <c r="E51" s="103">
        <f t="shared" si="32"/>
        <v>5346876</v>
      </c>
      <c r="F51" s="103">
        <f t="shared" si="32"/>
        <v>5503185</v>
      </c>
      <c r="G51" s="103">
        <f t="shared" si="32"/>
        <v>4904259</v>
      </c>
      <c r="H51" s="103">
        <f t="shared" si="32"/>
        <v>4091736</v>
      </c>
      <c r="I51" s="103">
        <f t="shared" ref="I51:P51" si="33">SUM(I60:I69)</f>
        <v>4256033.66</v>
      </c>
      <c r="J51" s="103">
        <f t="shared" si="33"/>
        <v>4196563.21</v>
      </c>
      <c r="K51" s="103">
        <f t="shared" si="33"/>
        <v>4281624.5000000009</v>
      </c>
      <c r="L51" s="103">
        <f t="shared" si="33"/>
        <v>3642006.11</v>
      </c>
      <c r="M51" s="103">
        <f t="shared" si="33"/>
        <v>4283135</v>
      </c>
      <c r="N51" s="103">
        <f t="shared" si="33"/>
        <v>4267348</v>
      </c>
      <c r="O51" s="103">
        <f t="shared" si="33"/>
        <v>3911371.64</v>
      </c>
      <c r="P51" s="103">
        <f t="shared" si="33"/>
        <v>3501849.1999999997</v>
      </c>
      <c r="Q51" s="103">
        <v>3448703</v>
      </c>
    </row>
    <row r="52" spans="1:17">
      <c r="A52" s="252" t="s">
        <v>760</v>
      </c>
      <c r="G52" s="103"/>
      <c r="H52" s="103"/>
      <c r="I52" s="103">
        <f t="shared" ref="I52:P52" si="34">I60+I61+I62+I63+I64+I65+I68</f>
        <v>1265896.69</v>
      </c>
      <c r="J52" s="103">
        <f t="shared" si="34"/>
        <v>1240487.21</v>
      </c>
      <c r="K52" s="103">
        <f t="shared" si="34"/>
        <v>1340076.82</v>
      </c>
      <c r="L52" s="103">
        <f t="shared" si="34"/>
        <v>893288.67999999993</v>
      </c>
      <c r="M52" s="103">
        <f t="shared" si="34"/>
        <v>1528408</v>
      </c>
      <c r="N52" s="103">
        <f t="shared" si="34"/>
        <v>1538537</v>
      </c>
      <c r="O52" s="103">
        <f t="shared" si="34"/>
        <v>856802.16</v>
      </c>
      <c r="P52" s="103">
        <f t="shared" si="34"/>
        <v>577186.84</v>
      </c>
      <c r="Q52" s="103">
        <v>567309.36</v>
      </c>
    </row>
    <row r="53" spans="1:17">
      <c r="A53" s="253" t="s">
        <v>801</v>
      </c>
      <c r="B53" s="103">
        <v>4133255</v>
      </c>
      <c r="C53" s="103">
        <v>696268</v>
      </c>
      <c r="D53" s="103">
        <v>1044729</v>
      </c>
      <c r="E53" s="103">
        <v>3486188</v>
      </c>
      <c r="F53" s="103">
        <v>3400676</v>
      </c>
      <c r="G53" s="103">
        <v>3051410</v>
      </c>
      <c r="H53" s="103">
        <v>3026468</v>
      </c>
      <c r="I53" s="103">
        <f t="shared" ref="I53:P53" si="35">I66+I67+I68+I69</f>
        <v>2991965.1700000004</v>
      </c>
      <c r="J53" s="103">
        <f t="shared" si="35"/>
        <v>2957495</v>
      </c>
      <c r="K53" s="103">
        <f t="shared" si="35"/>
        <v>2942556.29</v>
      </c>
      <c r="L53" s="103">
        <f t="shared" si="35"/>
        <v>2748717.4299999997</v>
      </c>
      <c r="M53" s="103">
        <f t="shared" si="35"/>
        <v>2754727</v>
      </c>
      <c r="N53" s="103">
        <f t="shared" si="35"/>
        <v>2728811</v>
      </c>
      <c r="O53" s="103">
        <f t="shared" si="35"/>
        <v>3054569.48</v>
      </c>
      <c r="P53" s="103">
        <f t="shared" si="35"/>
        <v>2924662.36</v>
      </c>
      <c r="Q53" s="103">
        <v>2881393.64</v>
      </c>
    </row>
    <row r="54" spans="1:17">
      <c r="A54" s="253" t="s">
        <v>759</v>
      </c>
      <c r="B54" s="103">
        <v>2300985</v>
      </c>
      <c r="C54" s="103">
        <v>2750985</v>
      </c>
      <c r="D54" s="103">
        <v>1615634</v>
      </c>
      <c r="E54" s="103">
        <v>1276044</v>
      </c>
      <c r="F54" s="103">
        <v>1414332</v>
      </c>
      <c r="G54" s="103">
        <v>1016924</v>
      </c>
      <c r="H54" s="103">
        <f>400000+4885</f>
        <v>404885</v>
      </c>
      <c r="I54" s="103">
        <f t="shared" ref="I54:P54" si="36">I60+I61+I64+I62+I65+I67+I69</f>
        <v>1414205.3299999998</v>
      </c>
      <c r="J54" s="103">
        <f t="shared" si="36"/>
        <v>1368478.21</v>
      </c>
      <c r="K54" s="103">
        <f t="shared" si="36"/>
        <v>1467282.42</v>
      </c>
      <c r="L54" s="103">
        <f t="shared" si="36"/>
        <v>895339.29</v>
      </c>
      <c r="M54" s="103">
        <f t="shared" si="36"/>
        <v>1563135</v>
      </c>
      <c r="N54" s="103">
        <f t="shared" si="36"/>
        <v>1560681</v>
      </c>
      <c r="O54" s="103">
        <f t="shared" si="36"/>
        <v>1231371.47</v>
      </c>
      <c r="P54" s="103">
        <f t="shared" si="36"/>
        <v>861849.2</v>
      </c>
      <c r="Q54" s="103">
        <v>822036.15</v>
      </c>
    </row>
    <row r="55" spans="1:17">
      <c r="A55" s="254" t="s">
        <v>142</v>
      </c>
      <c r="B55" s="103">
        <v>704908</v>
      </c>
      <c r="C55" s="103">
        <v>3927512</v>
      </c>
      <c r="D55" s="103">
        <v>3507769</v>
      </c>
      <c r="E55" s="103">
        <v>584644</v>
      </c>
      <c r="F55" s="103">
        <v>688177</v>
      </c>
      <c r="G55" s="103">
        <v>835925</v>
      </c>
      <c r="H55" s="103">
        <f>160000+484233+16150</f>
        <v>660383</v>
      </c>
      <c r="I55" s="103">
        <f t="shared" ref="I55:P55" si="37">I61+I62+I64+I65</f>
        <v>604068.49</v>
      </c>
      <c r="J55" s="103">
        <f t="shared" si="37"/>
        <v>579068.21</v>
      </c>
      <c r="K55" s="103">
        <f t="shared" si="37"/>
        <v>579068.21</v>
      </c>
      <c r="L55" s="103">
        <f t="shared" si="37"/>
        <v>733288.67999999993</v>
      </c>
      <c r="M55" s="103">
        <f t="shared" si="37"/>
        <v>868408</v>
      </c>
      <c r="N55" s="103">
        <f t="shared" si="37"/>
        <v>878537</v>
      </c>
      <c r="O55" s="103">
        <f t="shared" si="37"/>
        <v>446802.16</v>
      </c>
      <c r="P55" s="103">
        <f t="shared" si="37"/>
        <v>417186.83999999997</v>
      </c>
      <c r="Q55" s="103">
        <v>407309.36</v>
      </c>
    </row>
    <row r="56" spans="1:17">
      <c r="A56" s="254" t="s">
        <v>1146</v>
      </c>
      <c r="B56"/>
      <c r="C56"/>
      <c r="D56"/>
      <c r="E56"/>
      <c r="F56"/>
    </row>
    <row r="57" spans="1:17">
      <c r="A57" s="254" t="s">
        <v>143</v>
      </c>
      <c r="B57" s="103">
        <v>3167457</v>
      </c>
      <c r="C57" s="103">
        <v>3471218</v>
      </c>
      <c r="D57" s="103">
        <v>3295111</v>
      </c>
      <c r="E57" s="103">
        <v>3118670</v>
      </c>
      <c r="F57" s="103">
        <v>3162374</v>
      </c>
      <c r="G57" s="233">
        <v>2933333</v>
      </c>
      <c r="H57" s="103">
        <v>2853333</v>
      </c>
      <c r="I57" s="103">
        <f t="shared" ref="I57:P57" si="38">I63+I66</f>
        <v>2840000.13</v>
      </c>
      <c r="J57" s="103">
        <f t="shared" si="38"/>
        <v>2826666</v>
      </c>
      <c r="K57" s="103">
        <f t="shared" si="38"/>
        <v>2813333.47</v>
      </c>
      <c r="L57" s="103">
        <f t="shared" si="38"/>
        <v>2746666.82</v>
      </c>
      <c r="M57" s="103">
        <f t="shared" si="38"/>
        <v>2720000</v>
      </c>
      <c r="N57" s="103">
        <f t="shared" si="38"/>
        <v>2706667</v>
      </c>
      <c r="O57" s="103">
        <f t="shared" si="38"/>
        <v>2680000.17</v>
      </c>
      <c r="P57" s="103">
        <f t="shared" si="38"/>
        <v>2640000</v>
      </c>
      <c r="Q57" s="103">
        <v>2626666.85</v>
      </c>
    </row>
    <row r="58" spans="1:17">
      <c r="A58"/>
      <c r="B58" s="103">
        <f t="shared" ref="B58:P58" si="39">B51-B57</f>
        <v>3971691</v>
      </c>
      <c r="C58" s="103">
        <f t="shared" si="39"/>
        <v>3903547</v>
      </c>
      <c r="D58" s="103">
        <f t="shared" si="39"/>
        <v>2873021</v>
      </c>
      <c r="E58" s="59">
        <f t="shared" si="39"/>
        <v>2228206</v>
      </c>
      <c r="F58" s="103">
        <f t="shared" si="39"/>
        <v>2340811</v>
      </c>
      <c r="G58" s="103">
        <f t="shared" si="39"/>
        <v>1970926</v>
      </c>
      <c r="H58" s="103">
        <f t="shared" si="39"/>
        <v>1238403</v>
      </c>
      <c r="I58" s="103">
        <f t="shared" si="39"/>
        <v>1416033.5300000003</v>
      </c>
      <c r="J58" s="103">
        <f t="shared" si="39"/>
        <v>1369897.21</v>
      </c>
      <c r="K58" s="103">
        <f t="shared" si="39"/>
        <v>1468291.0300000007</v>
      </c>
      <c r="L58" s="103">
        <f t="shared" si="39"/>
        <v>895339.29</v>
      </c>
      <c r="M58" s="103">
        <f t="shared" si="39"/>
        <v>1563135</v>
      </c>
      <c r="N58" s="103">
        <f t="shared" si="39"/>
        <v>1560681</v>
      </c>
      <c r="O58" s="103">
        <f t="shared" si="39"/>
        <v>1231371.4700000002</v>
      </c>
      <c r="P58" s="103">
        <f t="shared" si="39"/>
        <v>861849.19999999972</v>
      </c>
      <c r="Q58" s="103">
        <v>822036.15</v>
      </c>
    </row>
    <row r="59" spans="1:17">
      <c r="A59" s="254" t="s">
        <v>985</v>
      </c>
      <c r="B59"/>
      <c r="C59"/>
      <c r="D59"/>
      <c r="E59"/>
      <c r="F59"/>
      <c r="M59" s="103"/>
    </row>
    <row r="60" spans="1:17">
      <c r="A60" s="254" t="s">
        <v>986</v>
      </c>
      <c r="G60" s="103"/>
      <c r="H60" s="103"/>
      <c r="I60" s="103">
        <v>500000</v>
      </c>
      <c r="J60" s="103">
        <v>500000</v>
      </c>
      <c r="K60" s="103">
        <v>600000</v>
      </c>
      <c r="L60" s="103">
        <v>0</v>
      </c>
      <c r="M60" s="103">
        <v>500000</v>
      </c>
      <c r="N60" s="103">
        <v>500000</v>
      </c>
      <c r="O60" s="103">
        <v>250000</v>
      </c>
      <c r="P60" s="103">
        <v>0</v>
      </c>
      <c r="Q60" s="103">
        <v>0</v>
      </c>
    </row>
    <row r="61" spans="1:17">
      <c r="A61" s="187"/>
      <c r="G61" s="103"/>
      <c r="H61" s="103"/>
      <c r="I61" s="103">
        <v>123800</v>
      </c>
      <c r="J61" s="103">
        <v>123800</v>
      </c>
      <c r="K61" s="103">
        <v>123800</v>
      </c>
      <c r="L61" s="103">
        <v>429000</v>
      </c>
      <c r="M61" s="103">
        <v>573000</v>
      </c>
      <c r="N61" s="103">
        <v>618000</v>
      </c>
      <c r="O61" s="103"/>
      <c r="P61" s="103"/>
      <c r="Q61" s="103">
        <v>0</v>
      </c>
    </row>
    <row r="62" spans="1:17">
      <c r="A62" s="230" t="s">
        <v>987</v>
      </c>
      <c r="G62" s="103"/>
      <c r="H62" s="103"/>
      <c r="I62" s="103">
        <v>4885</v>
      </c>
      <c r="J62" s="103">
        <v>4885</v>
      </c>
      <c r="K62" s="103">
        <v>4885</v>
      </c>
      <c r="L62" s="103">
        <v>3820.43</v>
      </c>
      <c r="M62" s="103">
        <v>2988</v>
      </c>
      <c r="N62" s="103">
        <v>2561</v>
      </c>
      <c r="O62" s="103">
        <v>1715.04</v>
      </c>
      <c r="P62" s="103">
        <v>433.04</v>
      </c>
      <c r="Q62" s="103">
        <v>0</v>
      </c>
    </row>
    <row r="63" spans="1:17">
      <c r="A63" s="230" t="s">
        <v>1417</v>
      </c>
      <c r="G63" s="103"/>
      <c r="H63" s="103"/>
      <c r="I63" s="103">
        <v>160000</v>
      </c>
      <c r="J63" s="103">
        <v>160000</v>
      </c>
      <c r="K63" s="103">
        <v>160000</v>
      </c>
      <c r="L63" s="103">
        <v>160000</v>
      </c>
      <c r="M63" s="103">
        <v>160000</v>
      </c>
      <c r="N63" s="103">
        <v>160000</v>
      </c>
      <c r="O63" s="103">
        <v>160000</v>
      </c>
      <c r="P63" s="103">
        <v>160000</v>
      </c>
      <c r="Q63" s="103">
        <v>160000</v>
      </c>
    </row>
    <row r="64" spans="1:17">
      <c r="A64" s="230" t="s">
        <v>988</v>
      </c>
      <c r="G64" s="103"/>
      <c r="H64" s="103"/>
      <c r="I64" s="103">
        <v>459233.28000000003</v>
      </c>
      <c r="J64" s="103">
        <v>434233</v>
      </c>
      <c r="K64" s="103">
        <v>434233</v>
      </c>
      <c r="L64" s="103">
        <v>284233.28000000003</v>
      </c>
      <c r="M64" s="103">
        <v>259112</v>
      </c>
      <c r="N64" s="103">
        <v>224668</v>
      </c>
      <c r="O64" s="103">
        <v>411779.12</v>
      </c>
      <c r="P64" s="103">
        <v>383445.8</v>
      </c>
      <c r="Q64" s="103">
        <v>374001.36</v>
      </c>
    </row>
    <row r="65" spans="1:17">
      <c r="A65" s="230" t="s">
        <v>842</v>
      </c>
      <c r="G65" s="103"/>
      <c r="H65" s="103"/>
      <c r="I65" s="103">
        <v>16150.21</v>
      </c>
      <c r="J65" s="103">
        <v>16150.21</v>
      </c>
      <c r="K65" s="103">
        <v>16150.21</v>
      </c>
      <c r="L65" s="103">
        <v>16234.97</v>
      </c>
      <c r="M65" s="103">
        <v>33308</v>
      </c>
      <c r="N65" s="103">
        <v>33308</v>
      </c>
      <c r="O65" s="103">
        <v>33308</v>
      </c>
      <c r="P65" s="103">
        <v>33308</v>
      </c>
      <c r="Q65" s="103">
        <v>33308</v>
      </c>
    </row>
    <row r="66" spans="1:17">
      <c r="A66" s="463" t="s">
        <v>673</v>
      </c>
      <c r="G66" s="103"/>
      <c r="H66" s="103"/>
      <c r="I66" s="103">
        <v>2680000.13</v>
      </c>
      <c r="J66" s="103">
        <v>2666666</v>
      </c>
      <c r="K66" s="103">
        <v>2653333.4700000002</v>
      </c>
      <c r="L66" s="103">
        <v>2586666.8199999998</v>
      </c>
      <c r="M66" s="103">
        <v>2560000</v>
      </c>
      <c r="N66" s="103">
        <v>2546667</v>
      </c>
      <c r="O66" s="103">
        <v>2520000.17</v>
      </c>
      <c r="P66" s="103">
        <v>2480000</v>
      </c>
      <c r="Q66" s="103">
        <v>2466666.85</v>
      </c>
    </row>
    <row r="67" spans="1:17">
      <c r="A67" s="464" t="s">
        <v>942</v>
      </c>
      <c r="G67" s="103"/>
      <c r="H67" s="103"/>
      <c r="I67" s="103">
        <v>296454.12</v>
      </c>
      <c r="J67" s="103">
        <v>276935</v>
      </c>
      <c r="K67" s="103">
        <v>276934.68</v>
      </c>
      <c r="L67" s="103">
        <v>159818.04</v>
      </c>
      <c r="M67" s="103">
        <v>120900</v>
      </c>
      <c r="N67" s="103">
        <v>110825</v>
      </c>
      <c r="O67" s="103">
        <v>468341.66</v>
      </c>
      <c r="P67" s="103">
        <v>386616.65</v>
      </c>
      <c r="Q67" s="103">
        <v>359374.98</v>
      </c>
    </row>
    <row r="68" spans="1:17">
      <c r="A68" s="230" t="s">
        <v>844</v>
      </c>
      <c r="G68" s="103"/>
      <c r="H68" s="103"/>
      <c r="I68" s="103">
        <v>1828.2</v>
      </c>
      <c r="J68" s="103">
        <v>1419</v>
      </c>
      <c r="K68" s="103">
        <v>1008.61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</row>
    <row r="69" spans="1:17">
      <c r="A69" s="230" t="s">
        <v>845</v>
      </c>
      <c r="G69" s="103"/>
      <c r="H69" s="103"/>
      <c r="I69" s="103">
        <v>13682.72</v>
      </c>
      <c r="J69" s="103">
        <v>12475</v>
      </c>
      <c r="K69" s="103">
        <v>11279.53</v>
      </c>
      <c r="L69" s="103">
        <v>2232.5700000000002</v>
      </c>
      <c r="M69" s="103">
        <v>73827</v>
      </c>
      <c r="N69" s="103">
        <v>71319</v>
      </c>
      <c r="O69" s="103">
        <v>66227.649999999994</v>
      </c>
      <c r="P69" s="103">
        <v>58045.71</v>
      </c>
      <c r="Q69" s="103">
        <v>55351.81</v>
      </c>
    </row>
    <row r="70" spans="1:17">
      <c r="A70" s="230" t="s">
        <v>846</v>
      </c>
    </row>
    <row r="71" spans="1:17">
      <c r="A71" s="230" t="s">
        <v>847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66"/>
  <sheetViews>
    <sheetView workbookViewId="0">
      <pane xSplit="1" ySplit="2" topLeftCell="B3" activePane="bottomRight" state="frozenSplit"/>
      <selection pane="topRight" activeCell="B1" sqref="B1"/>
      <selection pane="bottomLeft" activeCell="A2" sqref="A2"/>
      <selection pane="bottomRight" activeCell="A43" sqref="A43:H43"/>
    </sheetView>
  </sheetViews>
  <sheetFormatPr baseColWidth="10" defaultRowHeight="13" x14ac:dyDescent="0"/>
  <cols>
    <col min="2" max="2" width="11.85546875" style="103" bestFit="1" customWidth="1"/>
    <col min="3" max="4" width="11.85546875" style="103" customWidth="1"/>
    <col min="5" max="5" width="11.85546875" style="103" bestFit="1" customWidth="1"/>
    <col min="6" max="6" width="13.42578125" bestFit="1" customWidth="1"/>
  </cols>
  <sheetData>
    <row r="1" spans="1:19" ht="14" thickBot="1">
      <c r="B1" s="804" t="s">
        <v>955</v>
      </c>
      <c r="C1" s="805"/>
      <c r="D1" s="806"/>
      <c r="E1" s="804" t="s">
        <v>641</v>
      </c>
      <c r="F1" s="805"/>
      <c r="G1" s="806"/>
    </row>
    <row r="2" spans="1:19" ht="14" thickBot="1">
      <c r="A2" s="64"/>
      <c r="B2" s="441" t="s">
        <v>1041</v>
      </c>
      <c r="C2" s="442" t="s">
        <v>1039</v>
      </c>
      <c r="D2" s="443" t="s">
        <v>1040</v>
      </c>
      <c r="E2" s="441" t="s">
        <v>1016</v>
      </c>
      <c r="F2" s="442" t="s">
        <v>1039</v>
      </c>
      <c r="G2" s="444" t="s">
        <v>1040</v>
      </c>
    </row>
    <row r="3" spans="1:19">
      <c r="A3" s="63">
        <v>34334</v>
      </c>
      <c r="B3" s="103">
        <v>284953</v>
      </c>
      <c r="E3" s="103">
        <v>130634</v>
      </c>
      <c r="F3" s="137"/>
      <c r="G3" s="137"/>
      <c r="H3">
        <v>130634</v>
      </c>
      <c r="I3">
        <v>8045</v>
      </c>
      <c r="J3">
        <v>76000</v>
      </c>
      <c r="K3">
        <v>380911</v>
      </c>
      <c r="L3">
        <v>-73362</v>
      </c>
      <c r="M3">
        <v>257635</v>
      </c>
      <c r="N3">
        <v>151739</v>
      </c>
      <c r="O3">
        <v>185608</v>
      </c>
      <c r="P3">
        <v>150179</v>
      </c>
      <c r="Q3">
        <v>138767</v>
      </c>
      <c r="R3">
        <v>137348</v>
      </c>
      <c r="S3">
        <v>88272</v>
      </c>
    </row>
    <row r="4" spans="1:19">
      <c r="A4" s="63">
        <v>34365</v>
      </c>
      <c r="B4" s="103">
        <v>221785</v>
      </c>
      <c r="E4" s="103">
        <v>8045</v>
      </c>
      <c r="F4" s="137"/>
      <c r="G4" s="137"/>
    </row>
    <row r="5" spans="1:19">
      <c r="A5" s="63">
        <v>34393</v>
      </c>
      <c r="B5" s="103">
        <v>345985</v>
      </c>
      <c r="E5" s="103">
        <v>76000</v>
      </c>
      <c r="F5" s="137"/>
      <c r="G5" s="137"/>
    </row>
    <row r="6" spans="1:19">
      <c r="A6" s="63">
        <v>34424</v>
      </c>
      <c r="B6" s="103">
        <v>561943</v>
      </c>
      <c r="E6" s="103">
        <v>380911</v>
      </c>
      <c r="F6" s="137"/>
      <c r="G6" s="137"/>
    </row>
    <row r="7" spans="1:19">
      <c r="A7" s="63">
        <v>34454</v>
      </c>
      <c r="B7" s="103">
        <v>202260</v>
      </c>
      <c r="E7" s="103">
        <v>-73362</v>
      </c>
      <c r="F7" s="137"/>
      <c r="G7" s="137"/>
    </row>
    <row r="8" spans="1:19">
      <c r="A8" s="63">
        <v>34485</v>
      </c>
      <c r="B8" s="103">
        <v>495468</v>
      </c>
      <c r="E8" s="103">
        <v>257635</v>
      </c>
      <c r="F8" s="137"/>
      <c r="G8" s="137"/>
    </row>
    <row r="9" spans="1:19">
      <c r="A9" s="63">
        <v>34515</v>
      </c>
      <c r="B9" s="103">
        <v>429468</v>
      </c>
      <c r="E9" s="103">
        <v>151739</v>
      </c>
      <c r="F9" s="137"/>
      <c r="G9" s="137"/>
    </row>
    <row r="10" spans="1:19">
      <c r="A10" s="63">
        <v>34546</v>
      </c>
      <c r="B10" s="103">
        <v>430235</v>
      </c>
      <c r="E10" s="103">
        <v>185608</v>
      </c>
      <c r="F10" s="137"/>
      <c r="G10" s="137"/>
    </row>
    <row r="11" spans="1:19">
      <c r="A11" s="63">
        <v>34577</v>
      </c>
      <c r="B11" s="103">
        <v>402347</v>
      </c>
      <c r="E11" s="103">
        <v>150179</v>
      </c>
      <c r="F11" s="137"/>
      <c r="G11" s="137"/>
    </row>
    <row r="12" spans="1:19">
      <c r="A12" s="63">
        <v>34607</v>
      </c>
      <c r="B12" s="103">
        <v>393875</v>
      </c>
      <c r="E12" s="103">
        <v>138767</v>
      </c>
      <c r="F12" s="137"/>
      <c r="G12" s="137"/>
    </row>
    <row r="13" spans="1:19">
      <c r="A13" s="63">
        <v>34638</v>
      </c>
      <c r="B13" s="103">
        <v>347777</v>
      </c>
      <c r="E13" s="103">
        <v>137348</v>
      </c>
      <c r="F13" s="137"/>
      <c r="G13" s="137"/>
    </row>
    <row r="14" spans="1:19">
      <c r="A14" s="63">
        <v>34668</v>
      </c>
      <c r="B14" s="103">
        <v>341991</v>
      </c>
      <c r="C14" s="103">
        <f t="shared" ref="C14:C25" si="0">SUM(B4:B14)</f>
        <v>4173134</v>
      </c>
      <c r="E14" s="103">
        <v>88272</v>
      </c>
      <c r="F14" s="103">
        <f t="shared" ref="F14:F25" si="1">SUM(E4:E14)</f>
        <v>1501142</v>
      </c>
      <c r="G14" s="103"/>
    </row>
    <row r="15" spans="1:19">
      <c r="A15" s="63">
        <v>34699</v>
      </c>
      <c r="B15" s="103">
        <v>393310</v>
      </c>
      <c r="C15" s="103">
        <f t="shared" si="0"/>
        <v>4344659</v>
      </c>
      <c r="E15" s="103">
        <v>187651</v>
      </c>
      <c r="F15" s="103">
        <f t="shared" si="1"/>
        <v>1680748</v>
      </c>
      <c r="G15" s="103"/>
    </row>
    <row r="16" spans="1:19">
      <c r="A16" s="63">
        <v>34730</v>
      </c>
      <c r="B16" s="103">
        <v>270083</v>
      </c>
      <c r="C16" s="103">
        <f t="shared" si="0"/>
        <v>4268757</v>
      </c>
      <c r="E16" s="103">
        <v>20265</v>
      </c>
      <c r="F16" s="103">
        <f t="shared" si="1"/>
        <v>1625013</v>
      </c>
    </row>
    <row r="17" spans="1:7">
      <c r="A17" s="63">
        <v>34758</v>
      </c>
      <c r="B17" s="103">
        <v>372131</v>
      </c>
      <c r="C17" s="103">
        <f t="shared" si="0"/>
        <v>4078945</v>
      </c>
      <c r="E17" s="103">
        <v>74753</v>
      </c>
      <c r="F17" s="103">
        <f t="shared" si="1"/>
        <v>1318855</v>
      </c>
    </row>
    <row r="18" spans="1:7">
      <c r="A18" s="63">
        <v>34789</v>
      </c>
      <c r="B18" s="103">
        <v>337441</v>
      </c>
      <c r="C18" s="103">
        <f t="shared" si="0"/>
        <v>4214126</v>
      </c>
      <c r="E18" s="103">
        <v>120342</v>
      </c>
      <c r="F18" s="103">
        <f t="shared" si="1"/>
        <v>1512559</v>
      </c>
    </row>
    <row r="19" spans="1:7">
      <c r="A19" s="63">
        <v>34819</v>
      </c>
      <c r="B19" s="103">
        <v>333984</v>
      </c>
      <c r="C19" s="103">
        <f t="shared" si="0"/>
        <v>4052642</v>
      </c>
      <c r="E19" s="103">
        <v>138656</v>
      </c>
      <c r="F19" s="103">
        <f t="shared" si="1"/>
        <v>1393580</v>
      </c>
    </row>
    <row r="20" spans="1:7">
      <c r="A20" s="63">
        <v>34850</v>
      </c>
      <c r="B20" s="103">
        <v>394781</v>
      </c>
      <c r="C20" s="103">
        <f t="shared" si="0"/>
        <v>4017955</v>
      </c>
      <c r="E20" s="103">
        <v>181550</v>
      </c>
      <c r="F20" s="103">
        <f t="shared" si="1"/>
        <v>1423391</v>
      </c>
    </row>
    <row r="21" spans="1:7">
      <c r="A21" s="63">
        <v>34880</v>
      </c>
      <c r="B21" s="103">
        <v>424198</v>
      </c>
      <c r="C21" s="103">
        <f t="shared" si="0"/>
        <v>4011918</v>
      </c>
      <c r="E21" s="103">
        <v>191973</v>
      </c>
      <c r="F21" s="103">
        <f t="shared" si="1"/>
        <v>1429756</v>
      </c>
    </row>
    <row r="22" spans="1:7">
      <c r="A22" s="63">
        <v>34911</v>
      </c>
      <c r="B22" s="103">
        <v>463222</v>
      </c>
      <c r="C22" s="103">
        <f t="shared" si="0"/>
        <v>4072793</v>
      </c>
      <c r="E22" s="103">
        <v>219232</v>
      </c>
      <c r="F22" s="103">
        <f t="shared" si="1"/>
        <v>1498809</v>
      </c>
    </row>
    <row r="23" spans="1:7">
      <c r="A23" s="63">
        <v>34942</v>
      </c>
      <c r="B23" s="103">
        <v>441021</v>
      </c>
      <c r="C23" s="103">
        <f t="shared" si="0"/>
        <v>4119939</v>
      </c>
      <c r="E23" s="103">
        <v>188349</v>
      </c>
      <c r="F23" s="103">
        <f t="shared" si="1"/>
        <v>1548391</v>
      </c>
    </row>
    <row r="24" spans="1:7">
      <c r="A24" s="63">
        <v>34972</v>
      </c>
      <c r="B24" s="103">
        <v>471524</v>
      </c>
      <c r="C24" s="103">
        <f t="shared" si="0"/>
        <v>4243686</v>
      </c>
      <c r="E24" s="103">
        <v>199868</v>
      </c>
      <c r="F24" s="103">
        <f t="shared" si="1"/>
        <v>1610911</v>
      </c>
    </row>
    <row r="25" spans="1:7">
      <c r="A25" s="63">
        <v>35003</v>
      </c>
      <c r="B25" s="103">
        <v>422535</v>
      </c>
      <c r="C25" s="103">
        <f t="shared" si="0"/>
        <v>4324230</v>
      </c>
      <c r="E25" s="103">
        <v>131360</v>
      </c>
      <c r="F25" s="103">
        <f t="shared" si="1"/>
        <v>1653999</v>
      </c>
    </row>
    <row r="26" spans="1:7">
      <c r="A26" s="63">
        <v>35033</v>
      </c>
      <c r="B26" s="103">
        <v>407011</v>
      </c>
      <c r="C26" s="103">
        <f>SUM(B16:B26)</f>
        <v>4337931</v>
      </c>
      <c r="D26" s="199">
        <f>C26/C14-1</f>
        <v>3.9489985224533841E-2</v>
      </c>
      <c r="E26" s="103">
        <v>188317</v>
      </c>
      <c r="F26" s="103">
        <f>SUM(E14:E26)</f>
        <v>1930588</v>
      </c>
      <c r="G26" s="199">
        <f>F26/F14-1</f>
        <v>0.28607953145005593</v>
      </c>
    </row>
    <row r="27" spans="1:7">
      <c r="A27" s="63">
        <v>35064</v>
      </c>
      <c r="B27" s="103">
        <v>326269</v>
      </c>
      <c r="C27" s="103">
        <f t="shared" ref="C27:C45" si="2">SUM(B16:B27)</f>
        <v>4664200</v>
      </c>
      <c r="D27" s="199">
        <f t="shared" ref="D27:D45" si="3">C27/C15-1</f>
        <v>7.354800457297106E-2</v>
      </c>
      <c r="E27" s="103">
        <v>105198</v>
      </c>
      <c r="F27" s="103">
        <f t="shared" ref="F27:F44" si="4">SUM(E16:E27)</f>
        <v>1759863</v>
      </c>
      <c r="G27" s="199">
        <f t="shared" ref="G27:G44" si="5">F27/F15-1</f>
        <v>4.7071303967043177E-2</v>
      </c>
    </row>
    <row r="28" spans="1:7">
      <c r="A28" s="63">
        <v>35095</v>
      </c>
      <c r="B28" s="103">
        <v>298101</v>
      </c>
      <c r="C28" s="103">
        <f t="shared" si="2"/>
        <v>4692218</v>
      </c>
      <c r="D28" s="199">
        <f t="shared" si="3"/>
        <v>9.9200071589926608E-2</v>
      </c>
      <c r="E28" s="103">
        <v>72585</v>
      </c>
      <c r="F28" s="103">
        <f t="shared" si="4"/>
        <v>1812183</v>
      </c>
      <c r="G28" s="199">
        <f t="shared" si="5"/>
        <v>0.11518061701660232</v>
      </c>
    </row>
    <row r="29" spans="1:7">
      <c r="A29" s="63">
        <v>35124</v>
      </c>
      <c r="B29" s="103">
        <v>365452</v>
      </c>
      <c r="C29" s="103">
        <f t="shared" si="2"/>
        <v>4685539</v>
      </c>
      <c r="D29" s="199">
        <f t="shared" si="3"/>
        <v>0.14871345409168302</v>
      </c>
      <c r="E29" s="103">
        <v>142660</v>
      </c>
      <c r="F29" s="103">
        <f t="shared" si="4"/>
        <v>1880090</v>
      </c>
      <c r="G29" s="199">
        <f t="shared" si="5"/>
        <v>0.42554716022610517</v>
      </c>
    </row>
    <row r="30" spans="1:7">
      <c r="A30" s="63">
        <v>35155</v>
      </c>
      <c r="B30" s="103">
        <v>343453</v>
      </c>
      <c r="C30" s="103">
        <f t="shared" si="2"/>
        <v>4691551</v>
      </c>
      <c r="D30" s="199">
        <f t="shared" si="3"/>
        <v>0.11329158169451992</v>
      </c>
      <c r="E30" s="103">
        <v>99790</v>
      </c>
      <c r="F30" s="103">
        <f t="shared" si="4"/>
        <v>1859538</v>
      </c>
      <c r="G30" s="199">
        <f t="shared" si="5"/>
        <v>0.22939865486238875</v>
      </c>
    </row>
    <row r="31" spans="1:7">
      <c r="A31" s="63">
        <v>35185</v>
      </c>
      <c r="B31" s="103">
        <v>502815</v>
      </c>
      <c r="C31" s="103">
        <f t="shared" si="2"/>
        <v>4860382</v>
      </c>
      <c r="D31" s="199">
        <f t="shared" si="3"/>
        <v>0.19931195501601184</v>
      </c>
      <c r="E31" s="103">
        <v>278143</v>
      </c>
      <c r="F31" s="103">
        <f t="shared" si="4"/>
        <v>1999025</v>
      </c>
      <c r="G31" s="199">
        <f t="shared" si="5"/>
        <v>0.43445299157565409</v>
      </c>
    </row>
    <row r="32" spans="1:7">
      <c r="A32" s="63">
        <v>35216</v>
      </c>
      <c r="B32" s="103">
        <v>530687</v>
      </c>
      <c r="C32" s="103">
        <f t="shared" si="2"/>
        <v>4996288</v>
      </c>
      <c r="D32" s="199">
        <f t="shared" si="3"/>
        <v>0.24349028299221875</v>
      </c>
      <c r="E32" s="103">
        <v>188103</v>
      </c>
      <c r="F32" s="103">
        <f t="shared" si="4"/>
        <v>2005578</v>
      </c>
      <c r="G32" s="199">
        <f t="shared" si="5"/>
        <v>0.40901410785933034</v>
      </c>
    </row>
    <row r="33" spans="1:7">
      <c r="A33" s="63">
        <v>35246</v>
      </c>
      <c r="B33" s="103">
        <v>422939</v>
      </c>
      <c r="C33" s="103">
        <f t="shared" si="2"/>
        <v>4995029</v>
      </c>
      <c r="D33" s="199">
        <f t="shared" si="3"/>
        <v>0.24504763058467294</v>
      </c>
      <c r="E33" s="103">
        <v>152490</v>
      </c>
      <c r="F33" s="103">
        <f t="shared" si="4"/>
        <v>1966095</v>
      </c>
      <c r="G33" s="199">
        <f t="shared" si="5"/>
        <v>0.37512624531738292</v>
      </c>
    </row>
    <row r="34" spans="1:7">
      <c r="A34" s="63">
        <v>35277</v>
      </c>
      <c r="B34" s="103">
        <v>470646</v>
      </c>
      <c r="C34" s="103">
        <f t="shared" si="2"/>
        <v>5002453</v>
      </c>
      <c r="D34" s="199">
        <f t="shared" si="3"/>
        <v>0.2282610483763845</v>
      </c>
      <c r="E34" s="103">
        <v>191360</v>
      </c>
      <c r="F34" s="103">
        <f t="shared" si="4"/>
        <v>1938223</v>
      </c>
      <c r="G34" s="199">
        <f t="shared" si="5"/>
        <v>0.29317544797235673</v>
      </c>
    </row>
    <row r="35" spans="1:7">
      <c r="A35" s="63">
        <v>35308</v>
      </c>
      <c r="B35" s="103">
        <v>460747</v>
      </c>
      <c r="C35" s="103">
        <f t="shared" si="2"/>
        <v>5022179</v>
      </c>
      <c r="D35" s="199">
        <f t="shared" si="3"/>
        <v>0.21899353364212426</v>
      </c>
      <c r="E35" s="103">
        <v>201910</v>
      </c>
      <c r="F35" s="103">
        <f t="shared" si="4"/>
        <v>1951784</v>
      </c>
      <c r="G35" s="199">
        <f t="shared" si="5"/>
        <v>0.26052398909577756</v>
      </c>
    </row>
    <row r="36" spans="1:7">
      <c r="A36" s="63">
        <v>35338</v>
      </c>
      <c r="B36" s="103">
        <v>416028</v>
      </c>
      <c r="C36" s="103">
        <f t="shared" si="2"/>
        <v>4966683</v>
      </c>
      <c r="D36" s="199">
        <f t="shared" si="3"/>
        <v>0.17037005094156354</v>
      </c>
      <c r="E36" s="103">
        <v>127356</v>
      </c>
      <c r="F36" s="103">
        <f t="shared" si="4"/>
        <v>1879272</v>
      </c>
      <c r="G36" s="199">
        <f t="shared" si="5"/>
        <v>0.16658958812746327</v>
      </c>
    </row>
    <row r="37" spans="1:7">
      <c r="A37" s="63">
        <v>35369</v>
      </c>
      <c r="B37" s="103">
        <v>356528</v>
      </c>
      <c r="C37" s="103">
        <f t="shared" si="2"/>
        <v>4900676</v>
      </c>
      <c r="D37" s="199">
        <f t="shared" si="3"/>
        <v>0.13330604523811185</v>
      </c>
      <c r="E37" s="103">
        <v>118263</v>
      </c>
      <c r="F37" s="103">
        <f t="shared" si="4"/>
        <v>1866175</v>
      </c>
      <c r="G37" s="199">
        <f t="shared" si="5"/>
        <v>0.1282806096013358</v>
      </c>
    </row>
    <row r="38" spans="1:7">
      <c r="A38" s="63">
        <v>35399</v>
      </c>
      <c r="B38" s="103">
        <v>378046</v>
      </c>
      <c r="C38" s="103">
        <f t="shared" si="2"/>
        <v>4871711</v>
      </c>
      <c r="D38" s="199">
        <f t="shared" si="3"/>
        <v>0.12304944453934374</v>
      </c>
      <c r="E38" s="103">
        <v>138486</v>
      </c>
      <c r="F38" s="103">
        <f t="shared" si="4"/>
        <v>1816344</v>
      </c>
      <c r="G38" s="199">
        <f t="shared" si="5"/>
        <v>-5.9175753708196721E-2</v>
      </c>
    </row>
    <row r="39" spans="1:7">
      <c r="A39" s="63">
        <v>35430</v>
      </c>
      <c r="B39" s="103">
        <v>341016</v>
      </c>
      <c r="C39" s="103">
        <f t="shared" si="2"/>
        <v>4886458</v>
      </c>
      <c r="D39" s="199">
        <f t="shared" si="3"/>
        <v>4.7651901719480305E-2</v>
      </c>
      <c r="E39" s="103">
        <v>104873</v>
      </c>
      <c r="F39" s="103">
        <f t="shared" si="4"/>
        <v>1816019</v>
      </c>
      <c r="G39" s="199">
        <f t="shared" si="5"/>
        <v>3.1909302030896702E-2</v>
      </c>
    </row>
    <row r="40" spans="1:7">
      <c r="A40" s="63">
        <v>35461</v>
      </c>
      <c r="B40" s="103">
        <v>356262</v>
      </c>
      <c r="C40" s="103">
        <f t="shared" si="2"/>
        <v>4944619</v>
      </c>
      <c r="D40" s="199">
        <f t="shared" si="3"/>
        <v>5.3791405258664549E-2</v>
      </c>
      <c r="E40" s="103">
        <v>83673</v>
      </c>
      <c r="F40" s="103">
        <f t="shared" si="4"/>
        <v>1827107</v>
      </c>
      <c r="G40" s="199">
        <f t="shared" si="5"/>
        <v>8.2353713725380473E-3</v>
      </c>
    </row>
    <row r="41" spans="1:7">
      <c r="A41" s="63">
        <v>35489</v>
      </c>
      <c r="B41" s="103">
        <v>455508</v>
      </c>
      <c r="C41" s="103">
        <f t="shared" si="2"/>
        <v>5034675</v>
      </c>
      <c r="D41" s="199">
        <f t="shared" si="3"/>
        <v>7.4513519149024265E-2</v>
      </c>
      <c r="E41" s="103">
        <v>135263</v>
      </c>
      <c r="F41" s="103">
        <f t="shared" si="4"/>
        <v>1819710</v>
      </c>
      <c r="G41" s="199">
        <f t="shared" si="5"/>
        <v>-3.2115483833220715E-2</v>
      </c>
    </row>
    <row r="42" spans="1:7">
      <c r="A42" s="63">
        <v>35520</v>
      </c>
      <c r="B42" s="103">
        <v>512100</v>
      </c>
      <c r="C42" s="103">
        <f t="shared" si="2"/>
        <v>5203322</v>
      </c>
      <c r="D42" s="199">
        <f t="shared" si="3"/>
        <v>0.10908354188199176</v>
      </c>
      <c r="E42" s="103">
        <v>235619</v>
      </c>
      <c r="F42" s="103">
        <f t="shared" si="4"/>
        <v>1955539</v>
      </c>
      <c r="G42" s="199">
        <f t="shared" si="5"/>
        <v>5.1626264158086688E-2</v>
      </c>
    </row>
    <row r="43" spans="1:7">
      <c r="A43" s="63">
        <v>35550</v>
      </c>
      <c r="B43" s="103">
        <v>590423</v>
      </c>
      <c r="C43" s="103">
        <f t="shared" si="2"/>
        <v>5290930</v>
      </c>
      <c r="D43" s="199">
        <f t="shared" si="3"/>
        <v>8.8583160747447431E-2</v>
      </c>
      <c r="E43" s="103">
        <v>307896</v>
      </c>
      <c r="F43" s="103">
        <f t="shared" si="4"/>
        <v>1985292</v>
      </c>
      <c r="G43" s="199">
        <f t="shared" si="5"/>
        <v>-6.8698490514125243E-3</v>
      </c>
    </row>
    <row r="44" spans="1:7">
      <c r="A44" s="63">
        <v>35581</v>
      </c>
      <c r="B44" s="103">
        <v>538565</v>
      </c>
      <c r="C44" s="103">
        <f t="shared" si="2"/>
        <v>5298808</v>
      </c>
      <c r="D44" s="199">
        <f t="shared" si="3"/>
        <v>6.0548951541624429E-2</v>
      </c>
      <c r="E44" s="103">
        <v>257097</v>
      </c>
      <c r="F44" s="103">
        <f t="shared" si="4"/>
        <v>2054286</v>
      </c>
      <c r="G44" s="199">
        <f t="shared" si="5"/>
        <v>2.4286265605226953E-2</v>
      </c>
    </row>
    <row r="45" spans="1:7">
      <c r="A45" s="63">
        <v>35611</v>
      </c>
      <c r="B45" s="103">
        <v>473577</v>
      </c>
      <c r="C45" s="103">
        <f t="shared" si="2"/>
        <v>5349446</v>
      </c>
      <c r="D45" s="199">
        <f t="shared" si="3"/>
        <v>7.0953942409543558E-2</v>
      </c>
      <c r="E45" s="103">
        <v>152693</v>
      </c>
      <c r="F45" s="103">
        <f t="shared" ref="F45:F51" si="6">SUM(E34:E45)</f>
        <v>2054489</v>
      </c>
      <c r="G45" s="199">
        <f t="shared" ref="G45:G51" si="7">F45/F33-1</f>
        <v>4.4959170335105991E-2</v>
      </c>
    </row>
    <row r="46" spans="1:7">
      <c r="A46" s="63">
        <v>35642</v>
      </c>
      <c r="B46" s="103">
        <v>464511</v>
      </c>
      <c r="C46" s="103">
        <f t="shared" ref="C46:C51" si="8">SUM(B35:B46)</f>
        <v>5343311</v>
      </c>
      <c r="D46" s="199">
        <f t="shared" ref="D46:D51" si="9">C46/C34-1</f>
        <v>6.8138171413104631E-2</v>
      </c>
      <c r="E46" s="103">
        <v>204157</v>
      </c>
      <c r="F46" s="103">
        <f t="shared" si="6"/>
        <v>2067286</v>
      </c>
      <c r="G46" s="199">
        <f t="shared" si="7"/>
        <v>6.6588313109482211E-2</v>
      </c>
    </row>
    <row r="47" spans="1:7">
      <c r="A47" s="63">
        <v>35673</v>
      </c>
      <c r="B47" s="103">
        <v>494475</v>
      </c>
      <c r="C47" s="103">
        <f t="shared" si="8"/>
        <v>5377039</v>
      </c>
      <c r="D47" s="199">
        <f t="shared" si="9"/>
        <v>7.0658572703203193E-2</v>
      </c>
      <c r="E47" s="103">
        <v>214097</v>
      </c>
      <c r="F47" s="103">
        <f t="shared" si="6"/>
        <v>2079473</v>
      </c>
      <c r="G47" s="199">
        <f t="shared" si="7"/>
        <v>6.5421686006238433E-2</v>
      </c>
    </row>
    <row r="48" spans="1:7">
      <c r="A48" s="63">
        <v>35703</v>
      </c>
      <c r="B48" s="103">
        <v>617831</v>
      </c>
      <c r="C48" s="103">
        <f t="shared" si="8"/>
        <v>5578842</v>
      </c>
      <c r="D48" s="199">
        <f t="shared" si="9"/>
        <v>0.1232530846039499</v>
      </c>
      <c r="E48" s="103">
        <v>281429</v>
      </c>
      <c r="F48" s="103">
        <f t="shared" si="6"/>
        <v>2233546</v>
      </c>
      <c r="G48" s="199">
        <f t="shared" si="7"/>
        <v>0.18851661707299416</v>
      </c>
    </row>
    <row r="49" spans="1:7">
      <c r="A49" s="63">
        <v>35734</v>
      </c>
      <c r="B49" s="103">
        <v>543309</v>
      </c>
      <c r="C49" s="103">
        <f t="shared" si="8"/>
        <v>5765623</v>
      </c>
      <c r="D49" s="199">
        <f t="shared" si="9"/>
        <v>0.17649544675061146</v>
      </c>
      <c r="E49" s="103">
        <v>294726</v>
      </c>
      <c r="F49" s="103">
        <f t="shared" si="6"/>
        <v>2410009</v>
      </c>
      <c r="G49" s="199">
        <f t="shared" si="7"/>
        <v>0.29141639985531897</v>
      </c>
    </row>
    <row r="50" spans="1:7">
      <c r="A50" s="63">
        <v>35764</v>
      </c>
      <c r="B50" s="103">
        <v>409326</v>
      </c>
      <c r="C50" s="103">
        <f t="shared" si="8"/>
        <v>5796903</v>
      </c>
      <c r="D50" s="199">
        <f t="shared" si="9"/>
        <v>0.18991110104848175</v>
      </c>
      <c r="E50" s="103">
        <v>56441</v>
      </c>
      <c r="F50" s="103">
        <f t="shared" si="6"/>
        <v>2327964</v>
      </c>
      <c r="G50" s="199">
        <f t="shared" si="7"/>
        <v>0.28167571781556799</v>
      </c>
    </row>
    <row r="51" spans="1:7">
      <c r="A51" s="63">
        <v>35795</v>
      </c>
      <c r="B51" s="103">
        <v>361914</v>
      </c>
      <c r="C51" s="103">
        <f t="shared" si="8"/>
        <v>5817801</v>
      </c>
      <c r="D51" s="199">
        <f t="shared" si="9"/>
        <v>0.19059674717351505</v>
      </c>
      <c r="E51" s="103">
        <v>103130</v>
      </c>
      <c r="F51" s="103">
        <f t="shared" si="6"/>
        <v>2326221</v>
      </c>
      <c r="G51" s="199">
        <f t="shared" si="7"/>
        <v>0.28094529847980665</v>
      </c>
    </row>
    <row r="52" spans="1:7">
      <c r="A52" s="63">
        <v>35826</v>
      </c>
    </row>
    <row r="53" spans="1:7">
      <c r="A53" s="63">
        <v>35854</v>
      </c>
    </row>
    <row r="54" spans="1:7">
      <c r="A54" s="63">
        <v>35885</v>
      </c>
    </row>
    <row r="55" spans="1:7">
      <c r="A55" s="63">
        <v>35915</v>
      </c>
    </row>
    <row r="56" spans="1:7">
      <c r="A56" s="63">
        <v>35946</v>
      </c>
    </row>
    <row r="57" spans="1:7">
      <c r="A57" s="63">
        <v>35976</v>
      </c>
    </row>
    <row r="58" spans="1:7">
      <c r="A58" s="63"/>
    </row>
    <row r="59" spans="1:7">
      <c r="A59" s="63"/>
    </row>
    <row r="60" spans="1:7">
      <c r="A60" s="63"/>
      <c r="B60" s="463"/>
      <c r="C60" s="463">
        <f>MAX(C14:C58)</f>
        <v>5817801</v>
      </c>
      <c r="D60" s="463"/>
      <c r="E60" s="463"/>
      <c r="F60" s="463">
        <f>MAX(F14:F58)</f>
        <v>2410009</v>
      </c>
      <c r="G60" s="605"/>
    </row>
    <row r="61" spans="1:7">
      <c r="A61" s="63"/>
    </row>
    <row r="62" spans="1:7">
      <c r="A62" s="63"/>
    </row>
    <row r="63" spans="1:7">
      <c r="A63" s="63"/>
    </row>
    <row r="64" spans="1:7">
      <c r="A64" s="63">
        <v>38199</v>
      </c>
      <c r="C64" s="255">
        <v>7254714</v>
      </c>
      <c r="F64" s="103">
        <v>2762294</v>
      </c>
    </row>
    <row r="66" spans="1:1">
      <c r="A66" s="604" t="s">
        <v>1589</v>
      </c>
    </row>
  </sheetData>
  <mergeCells count="2">
    <mergeCell ref="B1:D1"/>
    <mergeCell ref="E1:G1"/>
  </mergeCells>
  <phoneticPr fontId="5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/>
  <dimension ref="A1:C32"/>
  <sheetViews>
    <sheetView workbookViewId="0">
      <selection activeCell="E9" sqref="E9"/>
    </sheetView>
  </sheetViews>
  <sheetFormatPr baseColWidth="10" defaultRowHeight="13" x14ac:dyDescent="0"/>
  <cols>
    <col min="1" max="1" width="50.85546875" customWidth="1"/>
    <col min="2" max="2" width="11.85546875" bestFit="1" customWidth="1"/>
    <col min="3" max="3" width="10.85546875" bestFit="1" customWidth="1"/>
  </cols>
  <sheetData>
    <row r="1" spans="1:3" ht="14" thickBot="1"/>
    <row r="2" spans="1:3" ht="14" thickBot="1">
      <c r="B2" s="807">
        <v>2003</v>
      </c>
      <c r="C2" s="808"/>
    </row>
    <row r="3" spans="1:3" s="643" customFormat="1" ht="14" thickBot="1">
      <c r="B3" s="219" t="s">
        <v>343</v>
      </c>
      <c r="C3" s="219" t="s">
        <v>333</v>
      </c>
    </row>
    <row r="4" spans="1:3">
      <c r="A4" t="s">
        <v>468</v>
      </c>
      <c r="B4" s="103">
        <f>30000*13</f>
        <v>390000</v>
      </c>
      <c r="C4" s="103">
        <f>B4/12</f>
        <v>32500</v>
      </c>
    </row>
    <row r="5" spans="1:3">
      <c r="A5" t="s">
        <v>342</v>
      </c>
      <c r="B5" s="103">
        <f>13*12000</f>
        <v>156000</v>
      </c>
      <c r="C5" s="103">
        <f>B5/12</f>
        <v>13000</v>
      </c>
    </row>
    <row r="6" spans="1:3">
      <c r="B6" s="103"/>
      <c r="C6" s="103"/>
    </row>
    <row r="7" spans="1:3">
      <c r="A7" t="s">
        <v>9</v>
      </c>
      <c r="B7" s="103"/>
      <c r="C7" s="103">
        <v>2000</v>
      </c>
    </row>
    <row r="8" spans="1:3">
      <c r="B8" s="103"/>
      <c r="C8" s="103"/>
    </row>
    <row r="9" spans="1:3">
      <c r="A9" t="s">
        <v>334</v>
      </c>
      <c r="B9" s="103">
        <v>17500</v>
      </c>
      <c r="C9" s="103"/>
    </row>
    <row r="10" spans="1:3">
      <c r="A10" t="s">
        <v>883</v>
      </c>
      <c r="B10" s="103">
        <f>C10*12</f>
        <v>7200</v>
      </c>
      <c r="C10" s="103">
        <v>600</v>
      </c>
    </row>
    <row r="11" spans="1:3">
      <c r="A11" t="s">
        <v>335</v>
      </c>
      <c r="B11" s="103">
        <f>C11*12</f>
        <v>30000</v>
      </c>
      <c r="C11" s="103">
        <v>2500</v>
      </c>
    </row>
    <row r="12" spans="1:3">
      <c r="B12" s="103"/>
      <c r="C12" s="103"/>
    </row>
    <row r="13" spans="1:3">
      <c r="A13" t="s">
        <v>473</v>
      </c>
      <c r="B13" s="103">
        <f>C13*12</f>
        <v>92820</v>
      </c>
      <c r="C13" s="103">
        <v>7735</v>
      </c>
    </row>
    <row r="14" spans="1:3">
      <c r="B14" s="103"/>
      <c r="C14" s="103"/>
    </row>
    <row r="15" spans="1:3">
      <c r="A15" t="s">
        <v>336</v>
      </c>
      <c r="B15" s="103"/>
      <c r="C15" s="103"/>
    </row>
    <row r="16" spans="1:3">
      <c r="B16" s="103"/>
      <c r="C16" s="103"/>
    </row>
    <row r="17" spans="1:3">
      <c r="A17" t="s">
        <v>337</v>
      </c>
      <c r="B17" s="103">
        <f>C17*12</f>
        <v>32400</v>
      </c>
      <c r="C17" s="103">
        <v>2700</v>
      </c>
    </row>
    <row r="18" spans="1:3">
      <c r="B18" s="103"/>
      <c r="C18" s="103"/>
    </row>
    <row r="19" spans="1:3">
      <c r="A19" t="s">
        <v>338</v>
      </c>
      <c r="B19" s="103">
        <f>C19*12</f>
        <v>18000</v>
      </c>
      <c r="C19" s="103">
        <v>1500</v>
      </c>
    </row>
    <row r="20" spans="1:3">
      <c r="B20" s="103"/>
      <c r="C20" s="103"/>
    </row>
    <row r="21" spans="1:3">
      <c r="A21" t="s">
        <v>503</v>
      </c>
      <c r="B21" s="103">
        <f>C21*12</f>
        <v>4200</v>
      </c>
      <c r="C21" s="103">
        <v>350</v>
      </c>
    </row>
    <row r="22" spans="1:3">
      <c r="B22" s="103"/>
      <c r="C22" s="103"/>
    </row>
    <row r="23" spans="1:3">
      <c r="A23" t="s">
        <v>1438</v>
      </c>
      <c r="B23" s="103">
        <f>C23*12</f>
        <v>10200</v>
      </c>
      <c r="C23" s="103">
        <v>850</v>
      </c>
    </row>
    <row r="24" spans="1:3">
      <c r="A24" t="s">
        <v>504</v>
      </c>
      <c r="B24" s="103">
        <f>C24*12</f>
        <v>24000</v>
      </c>
      <c r="C24" s="103">
        <v>2000</v>
      </c>
    </row>
    <row r="25" spans="1:3">
      <c r="B25" s="103"/>
      <c r="C25" s="103"/>
    </row>
    <row r="26" spans="1:3">
      <c r="B26" s="103"/>
      <c r="C26" s="103"/>
    </row>
    <row r="27" spans="1:3">
      <c r="B27" s="208"/>
      <c r="C27" s="208"/>
    </row>
    <row r="28" spans="1:3">
      <c r="B28" s="103"/>
      <c r="C28" s="103"/>
    </row>
    <row r="29" spans="1:3">
      <c r="B29" s="103">
        <f>SUM(B4:B27)</f>
        <v>782320</v>
      </c>
      <c r="C29" s="103">
        <f>SUM(C4:C27)</f>
        <v>65735</v>
      </c>
    </row>
    <row r="30" spans="1:3">
      <c r="B30" s="103"/>
      <c r="C30" s="103"/>
    </row>
    <row r="31" spans="1:3">
      <c r="B31" s="103"/>
      <c r="C31" s="103"/>
    </row>
    <row r="32" spans="1:3">
      <c r="B32" s="103"/>
      <c r="C32" s="103"/>
    </row>
  </sheetData>
  <mergeCells count="1">
    <mergeCell ref="B2:C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/>
  <dimension ref="A1:CB158"/>
  <sheetViews>
    <sheetView workbookViewId="0">
      <pane xSplit="1" ySplit="4" topLeftCell="Q98" activePane="bottomRight" state="frozenSplit"/>
      <selection pane="topRight" activeCell="AA1" sqref="AA1"/>
      <selection pane="bottomLeft" activeCell="Y2" sqref="Y2"/>
      <selection pane="bottomRight" activeCell="R133" sqref="R133"/>
    </sheetView>
  </sheetViews>
  <sheetFormatPr baseColWidth="10" defaultRowHeight="13" x14ac:dyDescent="0"/>
  <cols>
    <col min="1" max="1" width="6.85546875" customWidth="1"/>
    <col min="2" max="2" width="11.7109375" style="103" customWidth="1"/>
    <col min="3" max="3" width="11.7109375" style="481" customWidth="1"/>
    <col min="4" max="4" width="11.7109375" customWidth="1"/>
    <col min="6" max="8" width="8.85546875" customWidth="1"/>
    <col min="9" max="9" width="10.85546875" style="103" customWidth="1"/>
    <col min="12" max="12" width="10.85546875" bestFit="1" customWidth="1"/>
    <col min="20" max="20" width="11.85546875" style="59" customWidth="1"/>
    <col min="21" max="21" width="11.7109375" bestFit="1" customWidth="1"/>
    <col min="22" max="23" width="11.85546875" style="59" customWidth="1"/>
    <col min="26" max="26" width="10.85546875" customWidth="1"/>
    <col min="27" max="27" width="10.85546875" bestFit="1" customWidth="1"/>
    <col min="32" max="32" width="10.85546875" customWidth="1"/>
    <col min="38" max="38" width="12.7109375" bestFit="1" customWidth="1"/>
    <col min="39" max="39" width="11.7109375" bestFit="1" customWidth="1"/>
    <col min="42" max="42" width="11.85546875" customWidth="1"/>
    <col min="43" max="44" width="10.7109375" style="260"/>
    <col min="45" max="45" width="12" style="260" customWidth="1"/>
    <col min="46" max="46" width="12.7109375" style="260" customWidth="1"/>
    <col min="47" max="47" width="10.7109375" style="260"/>
    <col min="48" max="48" width="12.7109375" customWidth="1"/>
    <col min="49" max="49" width="11.85546875" customWidth="1"/>
    <col min="50" max="50" width="10.7109375" style="3"/>
  </cols>
  <sheetData>
    <row r="1" spans="1:51" ht="14" thickBot="1">
      <c r="AH1" s="242"/>
      <c r="AI1" s="242" t="s">
        <v>1143</v>
      </c>
      <c r="AJ1" s="666">
        <v>70000</v>
      </c>
      <c r="AK1" s="667">
        <v>0.46</v>
      </c>
      <c r="AL1" s="667">
        <v>0.93</v>
      </c>
      <c r="AQ1" s="263"/>
      <c r="AU1" s="263"/>
    </row>
    <row r="2" spans="1:51">
      <c r="AH2" s="663"/>
      <c r="AI2" s="663">
        <v>2004</v>
      </c>
      <c r="AJ2" s="664">
        <v>60000</v>
      </c>
      <c r="AK2" s="665"/>
      <c r="AL2" s="665"/>
      <c r="AQ2" s="263"/>
      <c r="AU2" s="263"/>
    </row>
    <row r="3" spans="1:51">
      <c r="AH3" s="663"/>
      <c r="AI3" s="663"/>
      <c r="AJ3" s="664" t="s">
        <v>113</v>
      </c>
      <c r="AK3" s="665" t="s">
        <v>307</v>
      </c>
      <c r="AL3" s="665" t="s">
        <v>308</v>
      </c>
      <c r="AQ3" s="263" t="s">
        <v>63</v>
      </c>
      <c r="AU3" s="263"/>
    </row>
    <row r="4" spans="1:51" ht="39">
      <c r="A4" s="131" t="s">
        <v>639</v>
      </c>
      <c r="B4" s="462" t="s">
        <v>1414</v>
      </c>
      <c r="C4" s="133" t="s">
        <v>1566</v>
      </c>
      <c r="D4" s="132" t="s">
        <v>1569</v>
      </c>
      <c r="E4" s="132" t="s">
        <v>1415</v>
      </c>
      <c r="F4" s="132" t="s">
        <v>406</v>
      </c>
      <c r="G4" s="132" t="s">
        <v>1627</v>
      </c>
      <c r="H4" s="132" t="s">
        <v>239</v>
      </c>
      <c r="I4" s="133" t="s">
        <v>1570</v>
      </c>
      <c r="J4" s="132" t="s">
        <v>223</v>
      </c>
      <c r="K4" s="151" t="s">
        <v>238</v>
      </c>
      <c r="L4" s="653" t="s">
        <v>65</v>
      </c>
      <c r="M4" s="132" t="s">
        <v>1628</v>
      </c>
      <c r="N4" s="132" t="s">
        <v>1629</v>
      </c>
      <c r="O4" s="132" t="s">
        <v>205</v>
      </c>
      <c r="P4" s="132" t="s">
        <v>1512</v>
      </c>
      <c r="Q4" s="132" t="s">
        <v>1630</v>
      </c>
      <c r="R4" s="132" t="s">
        <v>756</v>
      </c>
      <c r="S4" s="151"/>
      <c r="T4" s="59" t="s">
        <v>1322</v>
      </c>
      <c r="U4" s="132" t="s">
        <v>77</v>
      </c>
      <c r="V4" s="59" t="s">
        <v>61</v>
      </c>
      <c r="X4" s="132" t="s">
        <v>713</v>
      </c>
      <c r="Y4" s="132" t="s">
        <v>1585</v>
      </c>
      <c r="Z4" s="653" t="s">
        <v>1448</v>
      </c>
      <c r="AA4" s="653" t="s">
        <v>1449</v>
      </c>
      <c r="AB4" s="132" t="s">
        <v>1044</v>
      </c>
      <c r="AC4" s="151" t="s">
        <v>93</v>
      </c>
      <c r="AD4" s="151" t="s">
        <v>871</v>
      </c>
      <c r="AE4" t="s">
        <v>1554</v>
      </c>
      <c r="AF4" s="132" t="s">
        <v>536</v>
      </c>
      <c r="AG4" s="132" t="s">
        <v>849</v>
      </c>
      <c r="AH4" s="132" t="s">
        <v>1005</v>
      </c>
      <c r="AI4" s="132" t="s">
        <v>1394</v>
      </c>
      <c r="AJ4" s="132" t="s">
        <v>182</v>
      </c>
      <c r="AK4" s="133" t="s">
        <v>183</v>
      </c>
      <c r="AL4" s="213" t="s">
        <v>1117</v>
      </c>
      <c r="AM4" s="213" t="s">
        <v>10</v>
      </c>
      <c r="AN4" s="133" t="s">
        <v>1048</v>
      </c>
      <c r="AO4" s="132" t="s">
        <v>1377</v>
      </c>
      <c r="AP4" s="609" t="s">
        <v>790</v>
      </c>
      <c r="AQ4" s="679" t="s">
        <v>64</v>
      </c>
      <c r="AR4" s="679" t="s">
        <v>406</v>
      </c>
      <c r="AS4" s="680" t="s">
        <v>1570</v>
      </c>
      <c r="AT4" s="679" t="s">
        <v>205</v>
      </c>
      <c r="AU4" s="681" t="s">
        <v>1415</v>
      </c>
      <c r="AW4" t="s">
        <v>1552</v>
      </c>
      <c r="AX4" s="201" t="s">
        <v>1508</v>
      </c>
      <c r="AY4" s="103" t="s">
        <v>1456</v>
      </c>
    </row>
    <row r="5" spans="1:51">
      <c r="A5" s="63">
        <v>34334</v>
      </c>
      <c r="D5" s="151"/>
      <c r="E5" s="151"/>
      <c r="F5" s="151"/>
      <c r="G5" s="151"/>
      <c r="H5" s="151"/>
      <c r="I5" s="152">
        <v>2014</v>
      </c>
      <c r="J5" s="152"/>
      <c r="K5" s="152"/>
      <c r="M5" s="152"/>
      <c r="N5" s="152"/>
      <c r="O5" s="152">
        <v>34584</v>
      </c>
      <c r="P5" s="152"/>
      <c r="Q5" s="152"/>
      <c r="R5" s="152"/>
      <c r="S5" s="152"/>
      <c r="T5" s="59">
        <f t="shared" ref="T5:T37" si="0">I5+O5</f>
        <v>36598</v>
      </c>
      <c r="U5" s="152">
        <v>-29732</v>
      </c>
      <c r="X5" s="152"/>
      <c r="Y5" s="152"/>
      <c r="Z5" s="103">
        <f>T5-U5-N5</f>
        <v>66330</v>
      </c>
      <c r="AA5" s="103"/>
      <c r="AB5" s="152"/>
      <c r="AC5" s="152"/>
      <c r="AD5" s="152"/>
      <c r="AF5" s="152"/>
      <c r="AG5" s="152"/>
      <c r="AH5" s="293"/>
      <c r="AI5" s="152"/>
      <c r="AJ5" s="293">
        <f>-$AJ$1+I5*$AK$1+O5*$AL$1+N5</f>
        <v>-36910.439999999995</v>
      </c>
      <c r="AK5" s="59">
        <f t="shared" ref="AK5:AK15" si="1">U5-AJ5</f>
        <v>7178.4399999999951</v>
      </c>
      <c r="AL5" s="97">
        <f t="shared" ref="AL5:AL15" si="2">AK5^2</f>
        <v>51530000.833599932</v>
      </c>
      <c r="AM5" s="214"/>
      <c r="AN5" s="152"/>
      <c r="AO5" s="151"/>
      <c r="AP5" s="103"/>
      <c r="AQ5" s="263"/>
      <c r="AS5" s="682">
        <v>2014</v>
      </c>
      <c r="AT5" s="260">
        <v>34584</v>
      </c>
      <c r="AU5" s="263"/>
    </row>
    <row r="6" spans="1:51">
      <c r="A6" s="63">
        <v>34365</v>
      </c>
      <c r="D6" s="151"/>
      <c r="E6" s="151"/>
      <c r="F6" s="151"/>
      <c r="G6" s="151"/>
      <c r="H6" s="151"/>
      <c r="I6" s="152">
        <v>68521</v>
      </c>
      <c r="J6" s="152"/>
      <c r="K6" s="152"/>
      <c r="M6" s="152"/>
      <c r="N6" s="152"/>
      <c r="O6" s="152">
        <v>24149</v>
      </c>
      <c r="P6" s="152"/>
      <c r="Q6" s="152"/>
      <c r="R6" s="152"/>
      <c r="S6" s="152"/>
      <c r="T6" s="59">
        <f t="shared" si="0"/>
        <v>92670</v>
      </c>
      <c r="U6" s="152">
        <v>35824</v>
      </c>
      <c r="V6" s="59">
        <f>(T5*0.35+T6*0.65)</f>
        <v>73044.800000000003</v>
      </c>
      <c r="X6" s="152"/>
      <c r="Y6" s="152"/>
      <c r="Z6" s="103">
        <f t="shared" ref="Z6:Z69" si="3">T6-U6-N6</f>
        <v>56846</v>
      </c>
      <c r="AA6" s="103"/>
      <c r="AB6" s="152"/>
      <c r="AC6" s="152"/>
      <c r="AD6" s="152"/>
      <c r="AF6" s="152"/>
      <c r="AG6" s="152"/>
      <c r="AH6" s="293"/>
      <c r="AI6" s="152"/>
      <c r="AJ6" s="293">
        <f t="shared" ref="AJ6:AJ69" si="4">-$AJ$1+I6*$AK$1+O6*$AL$1+N6</f>
        <v>-16021.769999999997</v>
      </c>
      <c r="AK6" s="59">
        <f t="shared" si="1"/>
        <v>51845.77</v>
      </c>
      <c r="AL6" s="97">
        <f t="shared" si="2"/>
        <v>2687983866.8928995</v>
      </c>
      <c r="AM6" s="214"/>
      <c r="AN6" s="152"/>
      <c r="AO6" s="151"/>
      <c r="AP6" s="103"/>
      <c r="AQ6" s="263"/>
      <c r="AS6" s="682">
        <v>68521</v>
      </c>
      <c r="AT6" s="260">
        <v>24149</v>
      </c>
      <c r="AU6" s="263"/>
    </row>
    <row r="7" spans="1:51">
      <c r="A7" s="63">
        <v>34393</v>
      </c>
      <c r="D7" s="151"/>
      <c r="E7" s="151"/>
      <c r="F7" s="151"/>
      <c r="G7" s="151"/>
      <c r="H7" s="151"/>
      <c r="I7" s="152">
        <v>2184</v>
      </c>
      <c r="J7" s="152"/>
      <c r="K7" s="152"/>
      <c r="M7" s="152"/>
      <c r="N7" s="152"/>
      <c r="O7" s="152">
        <v>29633</v>
      </c>
      <c r="P7" s="152"/>
      <c r="Q7" s="152"/>
      <c r="R7" s="152"/>
      <c r="S7" s="152"/>
      <c r="T7" s="59">
        <f t="shared" si="0"/>
        <v>31817</v>
      </c>
      <c r="U7" s="152">
        <v>-46775</v>
      </c>
      <c r="V7" s="59">
        <f t="shared" ref="V7:V70" si="5">(T6*0.35+T7*0.65)</f>
        <v>53115.549999999996</v>
      </c>
      <c r="X7" s="152"/>
      <c r="Y7" s="152"/>
      <c r="Z7" s="103">
        <f t="shared" si="3"/>
        <v>78592</v>
      </c>
      <c r="AA7" s="103"/>
      <c r="AB7" s="152"/>
      <c r="AC7" s="152"/>
      <c r="AD7" s="152"/>
      <c r="AF7" s="152"/>
      <c r="AG7" s="152"/>
      <c r="AH7" s="293"/>
      <c r="AI7" s="103">
        <f>SUM(T5:T7)</f>
        <v>161085</v>
      </c>
      <c r="AJ7" s="293">
        <f t="shared" si="4"/>
        <v>-41436.67</v>
      </c>
      <c r="AK7" s="59">
        <f t="shared" si="1"/>
        <v>-5338.3300000000017</v>
      </c>
      <c r="AL7" s="97">
        <f t="shared" si="2"/>
        <v>28497767.18890002</v>
      </c>
      <c r="AM7" s="214"/>
      <c r="AN7" s="152"/>
      <c r="AO7" s="151"/>
      <c r="AP7" s="103"/>
      <c r="AQ7" s="263"/>
      <c r="AS7" s="682">
        <v>2184</v>
      </c>
      <c r="AT7" s="260">
        <v>29633</v>
      </c>
      <c r="AU7" s="263"/>
    </row>
    <row r="8" spans="1:51">
      <c r="A8" s="63">
        <v>34424</v>
      </c>
      <c r="D8" s="151"/>
      <c r="E8" s="151"/>
      <c r="F8" s="151"/>
      <c r="G8" s="151"/>
      <c r="H8" s="151"/>
      <c r="I8" s="152">
        <v>18208</v>
      </c>
      <c r="J8" s="152"/>
      <c r="K8" s="152"/>
      <c r="M8" s="152"/>
      <c r="N8" s="152"/>
      <c r="O8" s="152">
        <v>24576</v>
      </c>
      <c r="P8" s="152"/>
      <c r="Q8" s="152"/>
      <c r="R8" s="152"/>
      <c r="S8" s="152"/>
      <c r="T8" s="59">
        <f t="shared" si="0"/>
        <v>42784</v>
      </c>
      <c r="U8" s="152">
        <v>-61845</v>
      </c>
      <c r="V8" s="59">
        <f t="shared" si="5"/>
        <v>38945.550000000003</v>
      </c>
      <c r="X8" s="152"/>
      <c r="Y8" s="152"/>
      <c r="Z8" s="103">
        <f t="shared" si="3"/>
        <v>104629</v>
      </c>
      <c r="AA8" s="103"/>
      <c r="AB8" s="152"/>
      <c r="AC8" s="152"/>
      <c r="AD8" s="152"/>
      <c r="AF8" s="152"/>
      <c r="AG8" s="152"/>
      <c r="AH8" s="293"/>
      <c r="AI8" s="152"/>
      <c r="AJ8" s="293">
        <f t="shared" si="4"/>
        <v>-38768.639999999999</v>
      </c>
      <c r="AK8" s="59">
        <f t="shared" si="1"/>
        <v>-23076.36</v>
      </c>
      <c r="AL8" s="97">
        <f t="shared" si="2"/>
        <v>532518390.84960002</v>
      </c>
      <c r="AM8" s="214"/>
      <c r="AN8" s="152"/>
      <c r="AO8" s="151"/>
      <c r="AP8" s="103"/>
      <c r="AQ8" s="263"/>
      <c r="AS8" s="682">
        <v>18208</v>
      </c>
      <c r="AT8" s="260">
        <v>24576</v>
      </c>
      <c r="AU8" s="263"/>
    </row>
    <row r="9" spans="1:51">
      <c r="A9" s="63">
        <v>34454</v>
      </c>
      <c r="I9" s="103">
        <v>38419</v>
      </c>
      <c r="J9" s="103"/>
      <c r="K9" s="103"/>
      <c r="M9" s="103"/>
      <c r="N9" s="103"/>
      <c r="O9" s="103">
        <v>27838</v>
      </c>
      <c r="P9" s="103"/>
      <c r="Q9" s="103"/>
      <c r="R9" s="103"/>
      <c r="S9" s="103"/>
      <c r="T9" s="59">
        <f t="shared" si="0"/>
        <v>66257</v>
      </c>
      <c r="U9" s="103">
        <v>489</v>
      </c>
      <c r="V9" s="59">
        <f t="shared" si="5"/>
        <v>58041.450000000004</v>
      </c>
      <c r="X9" s="152"/>
      <c r="Y9" s="152"/>
      <c r="Z9" s="103">
        <f t="shared" si="3"/>
        <v>65768</v>
      </c>
      <c r="AA9" s="103"/>
      <c r="AB9" s="103"/>
      <c r="AC9" s="103"/>
      <c r="AD9" s="103"/>
      <c r="AF9" s="103"/>
      <c r="AG9" s="103"/>
      <c r="AH9" s="293"/>
      <c r="AI9" s="103"/>
      <c r="AJ9" s="293">
        <f t="shared" si="4"/>
        <v>-26437.919999999995</v>
      </c>
      <c r="AK9" s="59">
        <f t="shared" si="1"/>
        <v>26926.919999999995</v>
      </c>
      <c r="AL9" s="97">
        <f t="shared" si="2"/>
        <v>725059020.6863997</v>
      </c>
      <c r="AM9" s="104"/>
      <c r="AS9" s="263">
        <v>38419</v>
      </c>
      <c r="AT9" s="260">
        <v>27838</v>
      </c>
    </row>
    <row r="10" spans="1:51">
      <c r="A10" s="63">
        <v>34485</v>
      </c>
      <c r="I10" s="103">
        <v>9555</v>
      </c>
      <c r="J10" s="103"/>
      <c r="K10" s="103"/>
      <c r="M10" s="103"/>
      <c r="N10" s="103"/>
      <c r="O10" s="103">
        <v>45751</v>
      </c>
      <c r="P10" s="103"/>
      <c r="Q10" s="103"/>
      <c r="R10" s="103"/>
      <c r="S10" s="103"/>
      <c r="T10" s="59">
        <f t="shared" si="0"/>
        <v>55306</v>
      </c>
      <c r="U10" s="103">
        <v>-11821</v>
      </c>
      <c r="V10" s="59">
        <f t="shared" si="5"/>
        <v>59138.85</v>
      </c>
      <c r="X10" s="152"/>
      <c r="Y10" s="152"/>
      <c r="Z10" s="103">
        <f t="shared" si="3"/>
        <v>67127</v>
      </c>
      <c r="AA10" s="103"/>
      <c r="AB10" s="103"/>
      <c r="AC10" s="103"/>
      <c r="AD10" s="103"/>
      <c r="AF10" s="103"/>
      <c r="AG10" s="103"/>
      <c r="AH10" s="293"/>
      <c r="AI10" s="246">
        <f>SUM(T5:T10)</f>
        <v>325432</v>
      </c>
      <c r="AJ10" s="293">
        <f t="shared" si="4"/>
        <v>-23056.269999999997</v>
      </c>
      <c r="AK10" s="59">
        <f t="shared" si="1"/>
        <v>11235.269999999997</v>
      </c>
      <c r="AL10" s="97">
        <f t="shared" si="2"/>
        <v>126231291.97289993</v>
      </c>
      <c r="AM10" s="104"/>
      <c r="AS10" s="263">
        <v>9555</v>
      </c>
      <c r="AT10" s="260">
        <v>45751</v>
      </c>
    </row>
    <row r="11" spans="1:51">
      <c r="A11" s="63">
        <v>34515</v>
      </c>
      <c r="I11" s="103">
        <v>78921</v>
      </c>
      <c r="J11" s="103"/>
      <c r="K11" s="103"/>
      <c r="M11" s="103"/>
      <c r="N11" s="103"/>
      <c r="O11" s="103">
        <v>46076</v>
      </c>
      <c r="P11" s="103"/>
      <c r="Q11" s="103"/>
      <c r="R11" s="103"/>
      <c r="S11" s="103"/>
      <c r="T11" s="59">
        <f t="shared" si="0"/>
        <v>124997</v>
      </c>
      <c r="U11" s="103">
        <v>14127</v>
      </c>
      <c r="V11" s="59">
        <f t="shared" si="5"/>
        <v>100605.15</v>
      </c>
      <c r="X11" s="152"/>
      <c r="Y11" s="152"/>
      <c r="Z11" s="103">
        <f t="shared" si="3"/>
        <v>110870</v>
      </c>
      <c r="AA11" s="103"/>
      <c r="AB11" s="103"/>
      <c r="AC11" s="103"/>
      <c r="AD11" s="103"/>
      <c r="AF11" s="103"/>
      <c r="AG11" s="103"/>
      <c r="AH11" s="293"/>
      <c r="AI11" s="103"/>
      <c r="AJ11" s="293">
        <f t="shared" si="4"/>
        <v>9154.3400000000038</v>
      </c>
      <c r="AK11" s="59">
        <f t="shared" si="1"/>
        <v>4972.6599999999962</v>
      </c>
      <c r="AL11" s="97">
        <f t="shared" si="2"/>
        <v>24727347.475599963</v>
      </c>
      <c r="AM11" s="104"/>
      <c r="AS11" s="263">
        <v>78921</v>
      </c>
      <c r="AT11" s="260">
        <v>46076</v>
      </c>
    </row>
    <row r="12" spans="1:51">
      <c r="A12" s="63">
        <v>34546</v>
      </c>
      <c r="I12" s="103">
        <v>32534</v>
      </c>
      <c r="J12" s="103"/>
      <c r="K12" s="103"/>
      <c r="M12" s="103"/>
      <c r="N12" s="103"/>
      <c r="O12" s="103">
        <v>18091</v>
      </c>
      <c r="P12" s="103"/>
      <c r="Q12" s="103"/>
      <c r="R12" s="103"/>
      <c r="S12" s="103"/>
      <c r="T12" s="59">
        <f t="shared" si="0"/>
        <v>50625</v>
      </c>
      <c r="U12" s="103">
        <v>-46296</v>
      </c>
      <c r="V12" s="59">
        <f t="shared" si="5"/>
        <v>76655.199999999997</v>
      </c>
      <c r="X12" s="152"/>
      <c r="Y12" s="152"/>
      <c r="Z12" s="103">
        <f t="shared" si="3"/>
        <v>96921</v>
      </c>
      <c r="AA12" s="103"/>
      <c r="AB12" s="103"/>
      <c r="AC12" s="103"/>
      <c r="AD12" s="103"/>
      <c r="AF12" s="103"/>
      <c r="AG12" s="103"/>
      <c r="AH12" s="293"/>
      <c r="AI12" s="103"/>
      <c r="AJ12" s="293">
        <f t="shared" si="4"/>
        <v>-38209.729999999996</v>
      </c>
      <c r="AK12" s="59">
        <f t="shared" si="1"/>
        <v>-8086.2700000000041</v>
      </c>
      <c r="AL12" s="97">
        <f t="shared" si="2"/>
        <v>65387762.512900069</v>
      </c>
      <c r="AM12" s="104"/>
      <c r="AS12" s="263">
        <v>32534</v>
      </c>
      <c r="AT12" s="260">
        <v>18091</v>
      </c>
    </row>
    <row r="13" spans="1:51">
      <c r="A13" s="63">
        <v>34577</v>
      </c>
      <c r="I13" s="103">
        <v>2754</v>
      </c>
      <c r="J13" s="103"/>
      <c r="K13" s="103"/>
      <c r="M13" s="103"/>
      <c r="N13" s="103"/>
      <c r="O13" s="103">
        <v>88823</v>
      </c>
      <c r="P13" s="103"/>
      <c r="Q13" s="103"/>
      <c r="R13" s="103"/>
      <c r="S13" s="103"/>
      <c r="T13" s="59">
        <f t="shared" si="0"/>
        <v>91577</v>
      </c>
      <c r="U13" s="103">
        <v>55058</v>
      </c>
      <c r="V13" s="59">
        <f t="shared" si="5"/>
        <v>77243.8</v>
      </c>
      <c r="X13" s="152"/>
      <c r="Y13" s="152">
        <f>T13+T12+T11</f>
        <v>267199</v>
      </c>
      <c r="Z13" s="103">
        <f t="shared" si="3"/>
        <v>36519</v>
      </c>
      <c r="AA13" s="103"/>
      <c r="AB13" s="103"/>
      <c r="AC13" s="103"/>
      <c r="AD13" s="152">
        <f>U13+U12+U11</f>
        <v>22889</v>
      </c>
      <c r="AF13" s="103"/>
      <c r="AG13" s="103"/>
      <c r="AH13" s="293"/>
      <c r="AI13" s="103"/>
      <c r="AJ13" s="293">
        <f t="shared" si="4"/>
        <v>13872.229999999996</v>
      </c>
      <c r="AK13" s="59">
        <f t="shared" si="1"/>
        <v>41185.770000000004</v>
      </c>
      <c r="AL13" s="97">
        <f t="shared" si="2"/>
        <v>1696267650.4929004</v>
      </c>
      <c r="AM13" s="104"/>
      <c r="AS13" s="263">
        <v>2754</v>
      </c>
      <c r="AT13" s="260">
        <v>88823</v>
      </c>
    </row>
    <row r="14" spans="1:51">
      <c r="A14" s="63">
        <v>34607</v>
      </c>
      <c r="I14" s="103">
        <v>8004</v>
      </c>
      <c r="J14" s="103"/>
      <c r="K14" s="103"/>
      <c r="M14" s="103"/>
      <c r="N14" s="103"/>
      <c r="O14" s="103">
        <v>45290</v>
      </c>
      <c r="P14" s="103"/>
      <c r="Q14" s="103"/>
      <c r="R14" s="103"/>
      <c r="S14" s="103"/>
      <c r="T14" s="59">
        <f t="shared" si="0"/>
        <v>53294</v>
      </c>
      <c r="U14" s="103">
        <v>-16982</v>
      </c>
      <c r="V14" s="59">
        <f t="shared" si="5"/>
        <v>66693.049999999988</v>
      </c>
      <c r="X14" s="152"/>
      <c r="Y14" s="152"/>
      <c r="Z14" s="103">
        <f t="shared" si="3"/>
        <v>70276</v>
      </c>
      <c r="AA14" s="103"/>
      <c r="AB14" s="103"/>
      <c r="AC14" s="103"/>
      <c r="AD14" s="152"/>
      <c r="AF14" s="103"/>
      <c r="AG14" s="103"/>
      <c r="AH14" s="293"/>
      <c r="AI14" s="103"/>
      <c r="AJ14" s="293">
        <f t="shared" si="4"/>
        <v>-24198.46</v>
      </c>
      <c r="AK14" s="59">
        <f t="shared" si="1"/>
        <v>7216.4599999999991</v>
      </c>
      <c r="AL14" s="97">
        <f t="shared" si="2"/>
        <v>52077294.93159999</v>
      </c>
      <c r="AM14" s="104"/>
      <c r="AS14" s="263">
        <v>8004</v>
      </c>
      <c r="AT14" s="260">
        <v>45290</v>
      </c>
    </row>
    <row r="15" spans="1:51">
      <c r="A15" s="63">
        <v>34638</v>
      </c>
      <c r="I15" s="103">
        <v>11190</v>
      </c>
      <c r="J15" s="103"/>
      <c r="K15" s="103"/>
      <c r="M15" s="103"/>
      <c r="N15" s="103"/>
      <c r="O15" s="103">
        <v>65495</v>
      </c>
      <c r="P15" s="103"/>
      <c r="Q15" s="103"/>
      <c r="R15" s="103"/>
      <c r="S15" s="103"/>
      <c r="T15" s="59">
        <f t="shared" si="0"/>
        <v>76685</v>
      </c>
      <c r="U15" s="103">
        <v>29789</v>
      </c>
      <c r="V15" s="59">
        <f t="shared" si="5"/>
        <v>68498.149999999994</v>
      </c>
      <c r="X15" s="152"/>
      <c r="Y15" s="152"/>
      <c r="Z15" s="103">
        <f t="shared" si="3"/>
        <v>46896</v>
      </c>
      <c r="AA15" s="103"/>
      <c r="AB15" s="103"/>
      <c r="AC15" s="103"/>
      <c r="AD15" s="152"/>
      <c r="AF15" s="103"/>
      <c r="AG15" s="103"/>
      <c r="AH15" s="293"/>
      <c r="AI15" s="103"/>
      <c r="AJ15" s="293">
        <f t="shared" si="4"/>
        <v>-3942.2499999999927</v>
      </c>
      <c r="AK15" s="59">
        <f t="shared" si="1"/>
        <v>33731.249999999993</v>
      </c>
      <c r="AL15" s="97">
        <f t="shared" si="2"/>
        <v>1137797226.5624995</v>
      </c>
      <c r="AM15" s="104"/>
      <c r="AS15" s="263">
        <v>11190</v>
      </c>
      <c r="AT15" s="260">
        <v>65495</v>
      </c>
    </row>
    <row r="16" spans="1:51" ht="14" thickBot="1">
      <c r="A16" s="207">
        <v>34668</v>
      </c>
      <c r="B16" s="208"/>
      <c r="C16" s="482"/>
      <c r="D16" s="64"/>
      <c r="E16" s="64"/>
      <c r="F16" s="64"/>
      <c r="G16" s="64"/>
      <c r="H16" s="64"/>
      <c r="I16" s="208">
        <v>3032</v>
      </c>
      <c r="J16" s="59">
        <f t="shared" ref="J16:J79" si="6">SUM(I5:I16)</f>
        <v>275336</v>
      </c>
      <c r="K16" s="59"/>
      <c r="M16" s="137"/>
      <c r="N16" s="137"/>
      <c r="O16" s="208">
        <v>43184</v>
      </c>
      <c r="P16" s="137"/>
      <c r="Q16" s="137"/>
      <c r="R16" s="59">
        <f t="shared" ref="R16:R79" si="7">SUM(O5:O16)</f>
        <v>493490</v>
      </c>
      <c r="S16" s="59"/>
      <c r="T16" s="59">
        <f t="shared" si="0"/>
        <v>46216</v>
      </c>
      <c r="U16" s="137">
        <v>-47873</v>
      </c>
      <c r="V16" s="59">
        <f t="shared" si="5"/>
        <v>56880.15</v>
      </c>
      <c r="X16" s="59">
        <f t="shared" ref="X16:X38" si="8">SUM(T5:T16)</f>
        <v>768826</v>
      </c>
      <c r="Y16" s="152">
        <f>T16+T15+T14</f>
        <v>176195</v>
      </c>
      <c r="Z16" s="103">
        <f t="shared" si="3"/>
        <v>94089</v>
      </c>
      <c r="AA16" s="59">
        <f>SUM(T5:T16)/12</f>
        <v>64068.833333333336</v>
      </c>
      <c r="AB16" s="59">
        <f t="shared" ref="AB16:AB55" si="9">SUM(U5:U16)</f>
        <v>-126037</v>
      </c>
      <c r="AC16" s="654">
        <f>AB16/X16</f>
        <v>-0.16393436226142197</v>
      </c>
      <c r="AD16" s="152">
        <f>U16+U15+U14</f>
        <v>-35066</v>
      </c>
      <c r="AF16" s="137"/>
      <c r="AG16" s="137"/>
      <c r="AH16" s="293"/>
      <c r="AI16" s="64"/>
      <c r="AJ16" s="293">
        <f t="shared" si="4"/>
        <v>-28444.159999999996</v>
      </c>
      <c r="AK16" s="284"/>
      <c r="AL16" s="215"/>
      <c r="AM16" s="216"/>
      <c r="AN16" s="64"/>
      <c r="AO16" s="64"/>
      <c r="AS16" s="683">
        <v>3032</v>
      </c>
      <c r="AT16" s="260">
        <v>43184</v>
      </c>
      <c r="AY16">
        <v>0</v>
      </c>
    </row>
    <row r="17" spans="1:51">
      <c r="A17" s="63">
        <v>34699</v>
      </c>
      <c r="D17" s="103"/>
      <c r="E17" s="103"/>
      <c r="F17" s="103"/>
      <c r="G17" s="103"/>
      <c r="H17" s="103"/>
      <c r="I17" s="103">
        <f>17171+D17/2</f>
        <v>17171</v>
      </c>
      <c r="J17" s="59">
        <f t="shared" si="6"/>
        <v>290493</v>
      </c>
      <c r="K17" s="59"/>
      <c r="M17" s="103"/>
      <c r="N17" s="103"/>
      <c r="O17" s="103">
        <f>36079+D17/2</f>
        <v>36079</v>
      </c>
      <c r="P17" s="103"/>
      <c r="Q17" s="103"/>
      <c r="R17" s="59">
        <f t="shared" si="7"/>
        <v>494985</v>
      </c>
      <c r="S17" s="59"/>
      <c r="T17" s="59">
        <f t="shared" si="0"/>
        <v>53250</v>
      </c>
      <c r="U17" s="210">
        <v>-667</v>
      </c>
      <c r="V17" s="59">
        <f t="shared" si="5"/>
        <v>50788.1</v>
      </c>
      <c r="X17" s="59">
        <f t="shared" si="8"/>
        <v>785478</v>
      </c>
      <c r="Y17" s="152"/>
      <c r="Z17" s="103">
        <f t="shared" si="3"/>
        <v>53917</v>
      </c>
      <c r="AA17" s="59">
        <f t="shared" ref="AA17:AA80" si="10">SUM(T6:T17)/12</f>
        <v>65456.5</v>
      </c>
      <c r="AB17" s="59">
        <f t="shared" si="9"/>
        <v>-96972</v>
      </c>
      <c r="AC17" s="654">
        <f t="shared" ref="AC17:AC80" si="11">AB17/X17</f>
        <v>-0.12345603568782321</v>
      </c>
      <c r="AD17" s="152"/>
      <c r="AF17" s="137"/>
      <c r="AG17" s="137"/>
      <c r="AH17" s="293"/>
      <c r="AI17" s="152"/>
      <c r="AJ17" s="293">
        <f t="shared" si="4"/>
        <v>-28547.869999999995</v>
      </c>
      <c r="AK17" s="59">
        <f t="shared" ref="AK17:AK28" si="12">U17-AJ17</f>
        <v>27880.869999999995</v>
      </c>
      <c r="AL17" s="97">
        <f>AK17^2</f>
        <v>777342911.95689976</v>
      </c>
      <c r="AM17" s="59"/>
      <c r="AN17" s="103">
        <f>0.41*I17</f>
        <v>7040.11</v>
      </c>
      <c r="AO17" s="103">
        <f>I17*0.21</f>
        <v>3605.91</v>
      </c>
      <c r="AS17" s="263">
        <f>17171+AO17/2</f>
        <v>18973.955000000002</v>
      </c>
      <c r="AT17" s="260">
        <v>36079</v>
      </c>
      <c r="AY17">
        <v>0</v>
      </c>
    </row>
    <row r="18" spans="1:51">
      <c r="A18" s="63">
        <v>34730</v>
      </c>
      <c r="D18" s="103"/>
      <c r="E18" s="103"/>
      <c r="F18" s="103"/>
      <c r="G18" s="103"/>
      <c r="H18" s="103"/>
      <c r="I18" s="103">
        <v>16649</v>
      </c>
      <c r="J18" s="59">
        <f t="shared" si="6"/>
        <v>238621</v>
      </c>
      <c r="K18" s="59"/>
      <c r="M18" s="103"/>
      <c r="N18" s="103"/>
      <c r="O18" s="103">
        <v>18149</v>
      </c>
      <c r="P18" s="103"/>
      <c r="Q18" s="103"/>
      <c r="R18" s="59">
        <f t="shared" si="7"/>
        <v>488985</v>
      </c>
      <c r="S18" s="59"/>
      <c r="T18" s="59">
        <f t="shared" si="0"/>
        <v>34798</v>
      </c>
      <c r="U18" s="211">
        <v>-31555</v>
      </c>
      <c r="V18" s="59">
        <f t="shared" si="5"/>
        <v>41256.199999999997</v>
      </c>
      <c r="X18" s="59">
        <f t="shared" si="8"/>
        <v>727606</v>
      </c>
      <c r="Y18" s="152"/>
      <c r="Z18" s="103">
        <f t="shared" si="3"/>
        <v>66353</v>
      </c>
      <c r="AA18" s="59">
        <f t="shared" si="10"/>
        <v>60633.833333333336</v>
      </c>
      <c r="AB18" s="59">
        <f t="shared" si="9"/>
        <v>-164351</v>
      </c>
      <c r="AC18" s="654">
        <f t="shared" si="11"/>
        <v>-0.22587911589514106</v>
      </c>
      <c r="AD18" s="152"/>
      <c r="AF18" s="137"/>
      <c r="AG18" s="137"/>
      <c r="AH18" s="293"/>
      <c r="AI18" s="152"/>
      <c r="AJ18" s="293">
        <f t="shared" si="4"/>
        <v>-45462.89</v>
      </c>
      <c r="AK18" s="59">
        <f t="shared" si="12"/>
        <v>13907.89</v>
      </c>
      <c r="AL18" s="97">
        <f t="shared" ref="AL18:AL81" si="13">AK18^2</f>
        <v>193429404.25209999</v>
      </c>
      <c r="AM18" s="59"/>
      <c r="AN18" s="103">
        <f>0.41*I18</f>
        <v>6826.0899999999992</v>
      </c>
      <c r="AO18" s="103">
        <f>I18*0.21</f>
        <v>3496.29</v>
      </c>
      <c r="AS18" s="263">
        <v>16649</v>
      </c>
      <c r="AT18" s="260">
        <v>18149</v>
      </c>
      <c r="AY18">
        <v>0</v>
      </c>
    </row>
    <row r="19" spans="1:51">
      <c r="A19" s="63">
        <v>34758</v>
      </c>
      <c r="D19" s="103"/>
      <c r="E19" s="103"/>
      <c r="F19" s="103"/>
      <c r="G19" s="103"/>
      <c r="H19" s="103"/>
      <c r="I19" s="103">
        <v>8026</v>
      </c>
      <c r="J19" s="59">
        <f t="shared" si="6"/>
        <v>244463</v>
      </c>
      <c r="K19" s="59"/>
      <c r="M19" s="103"/>
      <c r="N19" s="103"/>
      <c r="O19" s="103">
        <v>48468</v>
      </c>
      <c r="P19" s="103"/>
      <c r="Q19" s="103"/>
      <c r="R19" s="59">
        <f t="shared" si="7"/>
        <v>507820</v>
      </c>
      <c r="S19" s="59"/>
      <c r="T19" s="59">
        <f t="shared" si="0"/>
        <v>56494</v>
      </c>
      <c r="U19" s="211">
        <v>5614</v>
      </c>
      <c r="V19" s="59">
        <f t="shared" si="5"/>
        <v>48900.399999999994</v>
      </c>
      <c r="X19" s="59">
        <f t="shared" si="8"/>
        <v>752283</v>
      </c>
      <c r="Y19" s="152">
        <f>T19+T18+T17</f>
        <v>144542</v>
      </c>
      <c r="Z19" s="103">
        <f t="shared" si="3"/>
        <v>50880</v>
      </c>
      <c r="AA19" s="59">
        <f t="shared" si="10"/>
        <v>62690.25</v>
      </c>
      <c r="AB19" s="59">
        <f t="shared" si="9"/>
        <v>-111962</v>
      </c>
      <c r="AC19" s="654">
        <f t="shared" si="11"/>
        <v>-0.14882962927515311</v>
      </c>
      <c r="AD19" s="152">
        <f>U19+U18+U17</f>
        <v>-26608</v>
      </c>
      <c r="AF19" s="137"/>
      <c r="AG19" s="137"/>
      <c r="AH19" s="293"/>
      <c r="AI19" s="103">
        <f>SUM(T17:T19)</f>
        <v>144542</v>
      </c>
      <c r="AJ19" s="293">
        <f t="shared" si="4"/>
        <v>-21232.799999999988</v>
      </c>
      <c r="AK19" s="59">
        <f t="shared" si="12"/>
        <v>26846.799999999988</v>
      </c>
      <c r="AL19" s="97">
        <f t="shared" si="13"/>
        <v>720750670.23999941</v>
      </c>
      <c r="AM19" s="59"/>
      <c r="AN19" s="103">
        <f>0.41*I19</f>
        <v>3290.66</v>
      </c>
      <c r="AO19" s="103">
        <f>I19*0.21</f>
        <v>1685.46</v>
      </c>
      <c r="AS19" s="263">
        <v>8026</v>
      </c>
      <c r="AT19" s="260">
        <v>48468</v>
      </c>
      <c r="AY19">
        <v>0</v>
      </c>
    </row>
    <row r="20" spans="1:51">
      <c r="A20" s="63">
        <v>34789</v>
      </c>
      <c r="D20" s="103">
        <v>18573</v>
      </c>
      <c r="E20" s="103"/>
      <c r="F20" s="103"/>
      <c r="G20" s="103"/>
      <c r="H20" s="103"/>
      <c r="I20" s="103">
        <f>14928+D20</f>
        <v>33501</v>
      </c>
      <c r="J20" s="59">
        <f t="shared" si="6"/>
        <v>259756</v>
      </c>
      <c r="K20" s="59"/>
      <c r="M20" s="103"/>
      <c r="N20" s="103"/>
      <c r="O20" s="103">
        <f>33303</f>
        <v>33303</v>
      </c>
      <c r="P20" s="103"/>
      <c r="Q20" s="103"/>
      <c r="R20" s="59">
        <f t="shared" si="7"/>
        <v>516547</v>
      </c>
      <c r="S20" s="59"/>
      <c r="T20" s="59">
        <f t="shared" si="0"/>
        <v>66804</v>
      </c>
      <c r="U20" s="211">
        <v>-5828</v>
      </c>
      <c r="V20" s="59">
        <f t="shared" si="5"/>
        <v>63195.5</v>
      </c>
      <c r="X20" s="59">
        <f t="shared" si="8"/>
        <v>776303</v>
      </c>
      <c r="Y20" s="152"/>
      <c r="Z20" s="103">
        <f t="shared" si="3"/>
        <v>72632</v>
      </c>
      <c r="AA20" s="59">
        <f t="shared" si="10"/>
        <v>64691.916666666664</v>
      </c>
      <c r="AB20" s="59">
        <f t="shared" si="9"/>
        <v>-55945</v>
      </c>
      <c r="AC20" s="654">
        <f t="shared" si="11"/>
        <v>-7.2065933018421929E-2</v>
      </c>
      <c r="AD20" s="152"/>
      <c r="AF20" s="137"/>
      <c r="AG20" s="137"/>
      <c r="AH20" s="293"/>
      <c r="AI20" s="152"/>
      <c r="AJ20" s="293">
        <f t="shared" si="4"/>
        <v>-23617.75</v>
      </c>
      <c r="AK20" s="59">
        <f t="shared" si="12"/>
        <v>17789.75</v>
      </c>
      <c r="AL20" s="97">
        <f t="shared" si="13"/>
        <v>316475205.0625</v>
      </c>
      <c r="AM20" s="59"/>
      <c r="AN20" s="103">
        <f>0.41*I20</f>
        <v>13735.41</v>
      </c>
      <c r="AO20" s="103">
        <f>I20*0.21</f>
        <v>7035.21</v>
      </c>
      <c r="AQ20" s="260">
        <v>18573</v>
      </c>
      <c r="AS20" s="263">
        <f>14928+AO20</f>
        <v>21963.21</v>
      </c>
      <c r="AT20" s="260">
        <v>33303</v>
      </c>
      <c r="AY20">
        <v>0</v>
      </c>
    </row>
    <row r="21" spans="1:51">
      <c r="A21" s="63">
        <v>34819</v>
      </c>
      <c r="D21" s="103">
        <v>-1039</v>
      </c>
      <c r="E21" s="103"/>
      <c r="F21" s="103"/>
      <c r="G21" s="103"/>
      <c r="H21" s="103"/>
      <c r="I21" s="103">
        <f>19051+D21/2</f>
        <v>18531.5</v>
      </c>
      <c r="J21" s="59">
        <f t="shared" si="6"/>
        <v>239868.5</v>
      </c>
      <c r="K21" s="59"/>
      <c r="M21" s="103"/>
      <c r="N21" s="103"/>
      <c r="O21" s="103">
        <f>40996+D21/2</f>
        <v>40476.5</v>
      </c>
      <c r="P21" s="103"/>
      <c r="Q21" s="103"/>
      <c r="R21" s="59">
        <f t="shared" si="7"/>
        <v>529185.5</v>
      </c>
      <c r="S21" s="59"/>
      <c r="T21" s="59">
        <f t="shared" si="0"/>
        <v>59008</v>
      </c>
      <c r="U21" s="211">
        <v>-2117</v>
      </c>
      <c r="V21" s="59">
        <f t="shared" si="5"/>
        <v>61736.600000000006</v>
      </c>
      <c r="X21" s="59">
        <f t="shared" si="8"/>
        <v>769054</v>
      </c>
      <c r="Y21" s="152"/>
      <c r="Z21" s="103">
        <f t="shared" si="3"/>
        <v>61125</v>
      </c>
      <c r="AA21" s="59">
        <f t="shared" si="10"/>
        <v>64087.833333333336</v>
      </c>
      <c r="AB21" s="59">
        <f t="shared" si="9"/>
        <v>-58551</v>
      </c>
      <c r="AC21" s="654">
        <f t="shared" si="11"/>
        <v>-7.6133795546216521E-2</v>
      </c>
      <c r="AD21" s="152"/>
      <c r="AF21" s="137"/>
      <c r="AG21" s="137"/>
      <c r="AH21" s="103">
        <f t="shared" ref="AH21:AH72" si="14">SUM(AJ10:AJ21)</f>
        <v>-237517.97499999998</v>
      </c>
      <c r="AI21" s="152"/>
      <c r="AJ21" s="293">
        <f t="shared" si="4"/>
        <v>-23832.364999999998</v>
      </c>
      <c r="AK21" s="59">
        <f t="shared" si="12"/>
        <v>21715.364999999998</v>
      </c>
      <c r="AL21" s="97">
        <f t="shared" si="13"/>
        <v>471557077.08322489</v>
      </c>
      <c r="AM21" s="59"/>
      <c r="AN21" s="103">
        <f>0.41*I21</f>
        <v>7597.915</v>
      </c>
      <c r="AO21" s="103">
        <f>I21*0.21</f>
        <v>3891.6149999999998</v>
      </c>
      <c r="AQ21" s="260">
        <v>-1039</v>
      </c>
      <c r="AS21" s="263">
        <f>19051+AO21/2</f>
        <v>20996.807499999999</v>
      </c>
      <c r="AT21" s="260">
        <v>40476.5</v>
      </c>
      <c r="AY21">
        <v>0</v>
      </c>
    </row>
    <row r="22" spans="1:51">
      <c r="A22" s="63">
        <v>34850</v>
      </c>
      <c r="D22" s="103"/>
      <c r="E22" s="103"/>
      <c r="F22" s="103"/>
      <c r="G22" s="103"/>
      <c r="H22" s="103"/>
      <c r="I22" s="103">
        <v>28643</v>
      </c>
      <c r="J22" s="59">
        <f t="shared" si="6"/>
        <v>258956.5</v>
      </c>
      <c r="K22" s="59"/>
      <c r="M22" s="103"/>
      <c r="N22" s="103"/>
      <c r="O22" s="103">
        <f>22942+10904</f>
        <v>33846</v>
      </c>
      <c r="P22" s="103"/>
      <c r="Q22" s="103"/>
      <c r="R22" s="59">
        <f t="shared" si="7"/>
        <v>517280.5</v>
      </c>
      <c r="S22" s="59"/>
      <c r="T22" s="59">
        <f t="shared" si="0"/>
        <v>62489</v>
      </c>
      <c r="U22" s="211">
        <v>-6848</v>
      </c>
      <c r="V22" s="59">
        <f t="shared" si="5"/>
        <v>61270.649999999994</v>
      </c>
      <c r="X22" s="59">
        <f t="shared" si="8"/>
        <v>776237</v>
      </c>
      <c r="Y22" s="152">
        <f>T22+T21+T20</f>
        <v>188301</v>
      </c>
      <c r="Z22" s="103">
        <f t="shared" si="3"/>
        <v>69337</v>
      </c>
      <c r="AA22" s="59">
        <f t="shared" si="10"/>
        <v>64686.416666666664</v>
      </c>
      <c r="AB22" s="59">
        <f t="shared" si="9"/>
        <v>-53578</v>
      </c>
      <c r="AC22" s="654">
        <f t="shared" si="11"/>
        <v>-6.9022734036125563E-2</v>
      </c>
      <c r="AD22" s="152">
        <f>U22+U21+U20</f>
        <v>-14793</v>
      </c>
      <c r="AF22" s="137"/>
      <c r="AG22" s="137"/>
      <c r="AH22" s="103">
        <f t="shared" si="14"/>
        <v>-239809.14499999996</v>
      </c>
      <c r="AI22" s="246">
        <f>SUM(T17:T22)</f>
        <v>332843</v>
      </c>
      <c r="AJ22" s="293">
        <f t="shared" si="4"/>
        <v>-25347.439999999999</v>
      </c>
      <c r="AK22" s="59">
        <f t="shared" si="12"/>
        <v>18499.439999999999</v>
      </c>
      <c r="AL22" s="97">
        <f t="shared" si="13"/>
        <v>342229280.31359994</v>
      </c>
      <c r="AM22" s="59"/>
      <c r="AN22" s="103">
        <f t="shared" ref="AN22:AN34" si="15">0.41*I22</f>
        <v>11743.63</v>
      </c>
      <c r="AO22" s="103">
        <f t="shared" ref="AO22:AO34" si="16">I22*0.21</f>
        <v>6015.03</v>
      </c>
      <c r="AS22" s="263">
        <v>28643</v>
      </c>
      <c r="AT22" s="260">
        <v>33846</v>
      </c>
      <c r="AY22">
        <v>0</v>
      </c>
    </row>
    <row r="23" spans="1:51">
      <c r="A23" s="63">
        <v>34880</v>
      </c>
      <c r="D23" s="103">
        <v>649</v>
      </c>
      <c r="E23" s="103"/>
      <c r="F23" s="103"/>
      <c r="G23" s="103"/>
      <c r="H23" s="103"/>
      <c r="I23" s="103">
        <f>15248+D23</f>
        <v>15897</v>
      </c>
      <c r="J23" s="59">
        <f t="shared" si="6"/>
        <v>195932.5</v>
      </c>
      <c r="K23" s="59"/>
      <c r="M23" s="103"/>
      <c r="N23" s="103"/>
      <c r="O23" s="103">
        <f>26401+5781</f>
        <v>32182</v>
      </c>
      <c r="P23" s="103"/>
      <c r="Q23" s="103"/>
      <c r="R23" s="59">
        <f t="shared" si="7"/>
        <v>503386.5</v>
      </c>
      <c r="S23" s="59"/>
      <c r="T23" s="59">
        <f t="shared" si="0"/>
        <v>48079</v>
      </c>
      <c r="U23" s="211">
        <v>4544</v>
      </c>
      <c r="V23" s="59">
        <f t="shared" si="5"/>
        <v>53122.5</v>
      </c>
      <c r="X23" s="59">
        <f t="shared" si="8"/>
        <v>699319</v>
      </c>
      <c r="Y23" s="152"/>
      <c r="Z23" s="103">
        <f t="shared" si="3"/>
        <v>43535</v>
      </c>
      <c r="AA23" s="59">
        <f t="shared" si="10"/>
        <v>58276.583333333336</v>
      </c>
      <c r="AB23" s="59">
        <f t="shared" si="9"/>
        <v>-63161</v>
      </c>
      <c r="AC23" s="654">
        <f t="shared" si="11"/>
        <v>-9.0317866381436795E-2</v>
      </c>
      <c r="AD23" s="152"/>
      <c r="AF23" s="137"/>
      <c r="AG23" s="137"/>
      <c r="AH23" s="103">
        <f t="shared" si="14"/>
        <v>-281721.60499999998</v>
      </c>
      <c r="AI23" s="152"/>
      <c r="AJ23" s="293">
        <f t="shared" si="4"/>
        <v>-32758.119999999995</v>
      </c>
      <c r="AK23" s="59">
        <f t="shared" si="12"/>
        <v>37302.119999999995</v>
      </c>
      <c r="AL23" s="97">
        <f t="shared" si="13"/>
        <v>1391448156.4943995</v>
      </c>
      <c r="AM23" s="59"/>
      <c r="AN23" s="103">
        <f t="shared" si="15"/>
        <v>6517.7699999999995</v>
      </c>
      <c r="AO23" s="103">
        <f t="shared" si="16"/>
        <v>3338.37</v>
      </c>
      <c r="AQ23" s="260">
        <v>649</v>
      </c>
      <c r="AS23" s="263">
        <f>15248+AO23</f>
        <v>18586.37</v>
      </c>
      <c r="AT23" s="260">
        <v>32182</v>
      </c>
      <c r="AY23">
        <v>0</v>
      </c>
    </row>
    <row r="24" spans="1:51">
      <c r="A24" s="63">
        <v>34911</v>
      </c>
      <c r="D24" s="103">
        <v>-286</v>
      </c>
      <c r="E24" s="103"/>
      <c r="F24" s="103"/>
      <c r="G24" s="103"/>
      <c r="H24" s="103"/>
      <c r="I24" s="103">
        <f>23070+D24</f>
        <v>22784</v>
      </c>
      <c r="J24" s="59">
        <f t="shared" si="6"/>
        <v>186182.5</v>
      </c>
      <c r="K24" s="59"/>
      <c r="M24" s="103"/>
      <c r="N24" s="103"/>
      <c r="O24" s="103">
        <f>15083+7974</f>
        <v>23057</v>
      </c>
      <c r="P24" s="103"/>
      <c r="Q24" s="103"/>
      <c r="R24" s="59">
        <f t="shared" si="7"/>
        <v>508352.5</v>
      </c>
      <c r="S24" s="59"/>
      <c r="T24" s="59">
        <f t="shared" si="0"/>
        <v>45841</v>
      </c>
      <c r="U24" s="211">
        <v>-9219</v>
      </c>
      <c r="V24" s="59">
        <f t="shared" si="5"/>
        <v>46624.3</v>
      </c>
      <c r="X24" s="59">
        <f t="shared" si="8"/>
        <v>694535</v>
      </c>
      <c r="Y24" s="152"/>
      <c r="Z24" s="103">
        <f t="shared" si="3"/>
        <v>55060</v>
      </c>
      <c r="AA24" s="59">
        <f t="shared" si="10"/>
        <v>57877.916666666664</v>
      </c>
      <c r="AB24" s="59">
        <f t="shared" si="9"/>
        <v>-26084</v>
      </c>
      <c r="AC24" s="654">
        <f t="shared" si="11"/>
        <v>-3.7556062689425296E-2</v>
      </c>
      <c r="AD24" s="152"/>
      <c r="AF24" s="137"/>
      <c r="AG24" s="137"/>
      <c r="AH24" s="103">
        <f t="shared" si="14"/>
        <v>-281588.22499999992</v>
      </c>
      <c r="AI24" s="152"/>
      <c r="AJ24" s="293">
        <f t="shared" si="4"/>
        <v>-38076.35</v>
      </c>
      <c r="AK24" s="59">
        <f t="shared" si="12"/>
        <v>28857.35</v>
      </c>
      <c r="AL24" s="97">
        <f t="shared" si="13"/>
        <v>832746649.02249992</v>
      </c>
      <c r="AM24" s="59"/>
      <c r="AN24" s="103">
        <f t="shared" si="15"/>
        <v>9341.4399999999987</v>
      </c>
      <c r="AO24" s="103">
        <f t="shared" si="16"/>
        <v>4784.6399999999994</v>
      </c>
      <c r="AQ24" s="260">
        <v>-286</v>
      </c>
      <c r="AS24" s="263">
        <f>23070+AO24</f>
        <v>27854.639999999999</v>
      </c>
      <c r="AT24" s="260">
        <v>23057</v>
      </c>
      <c r="AY24">
        <v>0</v>
      </c>
    </row>
    <row r="25" spans="1:51">
      <c r="A25" s="63">
        <v>34942</v>
      </c>
      <c r="D25" s="103">
        <v>-17677</v>
      </c>
      <c r="E25" s="103"/>
      <c r="F25" s="103"/>
      <c r="G25" s="103"/>
      <c r="H25" s="103"/>
      <c r="I25" s="103">
        <f>25914+D25</f>
        <v>8237</v>
      </c>
      <c r="J25" s="59">
        <f t="shared" si="6"/>
        <v>191665.5</v>
      </c>
      <c r="K25" s="59"/>
      <c r="M25" s="103"/>
      <c r="N25" s="103"/>
      <c r="O25" s="103">
        <f>32421+1141</f>
        <v>33562</v>
      </c>
      <c r="P25" s="103"/>
      <c r="Q25" s="103"/>
      <c r="R25" s="59">
        <f t="shared" si="7"/>
        <v>453091.5</v>
      </c>
      <c r="S25" s="59"/>
      <c r="T25" s="59">
        <f t="shared" si="0"/>
        <v>41799</v>
      </c>
      <c r="U25" s="211">
        <v>-44186</v>
      </c>
      <c r="V25" s="59">
        <f t="shared" si="5"/>
        <v>43213.7</v>
      </c>
      <c r="X25" s="59">
        <f t="shared" si="8"/>
        <v>644757</v>
      </c>
      <c r="Y25" s="152">
        <f>T25+T24+T23</f>
        <v>135719</v>
      </c>
      <c r="Z25" s="103">
        <f t="shared" si="3"/>
        <v>85985</v>
      </c>
      <c r="AA25" s="59">
        <f t="shared" si="10"/>
        <v>53729.75</v>
      </c>
      <c r="AB25" s="59">
        <f t="shared" si="9"/>
        <v>-125328</v>
      </c>
      <c r="AC25" s="654">
        <f t="shared" si="11"/>
        <v>-0.19438020835756728</v>
      </c>
      <c r="AD25" s="152">
        <f>U25+U24+U23</f>
        <v>-48861</v>
      </c>
      <c r="AF25" s="137"/>
      <c r="AG25" s="137"/>
      <c r="AH25" s="103">
        <f t="shared" si="14"/>
        <v>-330458.77499999997</v>
      </c>
      <c r="AI25" s="152"/>
      <c r="AJ25" s="293">
        <f t="shared" si="4"/>
        <v>-34998.319999999992</v>
      </c>
      <c r="AK25" s="59">
        <f t="shared" si="12"/>
        <v>-9187.6800000000076</v>
      </c>
      <c r="AL25" s="97">
        <f t="shared" si="13"/>
        <v>84413463.782400146</v>
      </c>
      <c r="AM25" s="59"/>
      <c r="AN25" s="103">
        <f t="shared" si="15"/>
        <v>3377.1699999999996</v>
      </c>
      <c r="AO25" s="103">
        <f t="shared" si="16"/>
        <v>1729.77</v>
      </c>
      <c r="AQ25" s="260">
        <v>-17677</v>
      </c>
      <c r="AS25" s="263">
        <f>25914+AO25</f>
        <v>27643.77</v>
      </c>
      <c r="AT25" s="260">
        <v>33562</v>
      </c>
      <c r="AY25">
        <v>0</v>
      </c>
    </row>
    <row r="26" spans="1:51">
      <c r="A26" s="63">
        <v>34972</v>
      </c>
      <c r="D26" s="103"/>
      <c r="E26" s="103"/>
      <c r="F26" s="103"/>
      <c r="G26" s="103"/>
      <c r="H26" s="103"/>
      <c r="I26" s="103">
        <v>0</v>
      </c>
      <c r="J26" s="59">
        <f t="shared" si="6"/>
        <v>183661.5</v>
      </c>
      <c r="K26" s="59"/>
      <c r="M26" s="103"/>
      <c r="N26" s="103"/>
      <c r="O26" s="103">
        <f>31815+4701</f>
        <v>36516</v>
      </c>
      <c r="P26" s="103"/>
      <c r="Q26" s="103"/>
      <c r="R26" s="59">
        <f t="shared" si="7"/>
        <v>444317.5</v>
      </c>
      <c r="S26" s="59"/>
      <c r="T26" s="59">
        <f t="shared" si="0"/>
        <v>36516</v>
      </c>
      <c r="U26" s="211">
        <v>-31914</v>
      </c>
      <c r="V26" s="59">
        <f t="shared" si="5"/>
        <v>38365.050000000003</v>
      </c>
      <c r="X26" s="59">
        <f t="shared" si="8"/>
        <v>627979</v>
      </c>
      <c r="Y26" s="152"/>
      <c r="Z26" s="103">
        <f t="shared" si="3"/>
        <v>68430</v>
      </c>
      <c r="AA26" s="59">
        <f t="shared" si="10"/>
        <v>52331.583333333336</v>
      </c>
      <c r="AB26" s="59">
        <f t="shared" si="9"/>
        <v>-140260</v>
      </c>
      <c r="AC26" s="654">
        <f t="shared" si="11"/>
        <v>-0.22335141780218765</v>
      </c>
      <c r="AD26" s="152"/>
      <c r="AF26" s="137"/>
      <c r="AG26" s="137"/>
      <c r="AH26" s="103">
        <f t="shared" si="14"/>
        <v>-342300.43499999994</v>
      </c>
      <c r="AI26" s="152"/>
      <c r="AJ26" s="293">
        <f t="shared" si="4"/>
        <v>-36040.119999999995</v>
      </c>
      <c r="AK26" s="59">
        <f t="shared" si="12"/>
        <v>4126.1199999999953</v>
      </c>
      <c r="AL26" s="97">
        <f t="shared" si="13"/>
        <v>17024866.254399963</v>
      </c>
      <c r="AM26" s="59"/>
      <c r="AN26" s="103">
        <f t="shared" si="15"/>
        <v>0</v>
      </c>
      <c r="AO26" s="103">
        <f t="shared" si="16"/>
        <v>0</v>
      </c>
      <c r="AS26" s="263">
        <v>0</v>
      </c>
      <c r="AT26" s="260">
        <v>36516</v>
      </c>
      <c r="AY26">
        <v>0</v>
      </c>
    </row>
    <row r="27" spans="1:51">
      <c r="A27" s="63">
        <v>35003</v>
      </c>
      <c r="D27" s="103">
        <v>19874</v>
      </c>
      <c r="E27" s="103"/>
      <c r="F27" s="103"/>
      <c r="G27" s="103"/>
      <c r="H27" s="103"/>
      <c r="I27" s="103">
        <f>3577+D27</f>
        <v>23451</v>
      </c>
      <c r="J27" s="59">
        <f t="shared" si="6"/>
        <v>195922.5</v>
      </c>
      <c r="K27" s="59"/>
      <c r="M27" s="103"/>
      <c r="N27" s="103"/>
      <c r="O27" s="103">
        <f>41099+2494</f>
        <v>43593</v>
      </c>
      <c r="P27" s="103"/>
      <c r="Q27" s="103"/>
      <c r="R27" s="59">
        <f t="shared" si="7"/>
        <v>422415.5</v>
      </c>
      <c r="S27" s="59"/>
      <c r="T27" s="59">
        <f t="shared" si="0"/>
        <v>67044</v>
      </c>
      <c r="U27" s="211">
        <v>-12325</v>
      </c>
      <c r="V27" s="59">
        <f t="shared" si="5"/>
        <v>56359.199999999997</v>
      </c>
      <c r="X27" s="59">
        <f t="shared" si="8"/>
        <v>618338</v>
      </c>
      <c r="Y27" s="152"/>
      <c r="Z27" s="103">
        <f t="shared" si="3"/>
        <v>79369</v>
      </c>
      <c r="AA27" s="59">
        <f t="shared" si="10"/>
        <v>51528.166666666664</v>
      </c>
      <c r="AB27" s="59">
        <f t="shared" si="9"/>
        <v>-182374</v>
      </c>
      <c r="AC27" s="654">
        <f t="shared" si="11"/>
        <v>-0.29494224841429767</v>
      </c>
      <c r="AD27" s="152"/>
      <c r="AF27" s="137"/>
      <c r="AG27" s="137"/>
      <c r="AH27" s="103">
        <f t="shared" si="14"/>
        <v>-357029.23499999993</v>
      </c>
      <c r="AI27" s="152"/>
      <c r="AJ27" s="293">
        <f t="shared" si="4"/>
        <v>-18671.049999999996</v>
      </c>
      <c r="AK27" s="59">
        <f t="shared" si="12"/>
        <v>6346.0499999999956</v>
      </c>
      <c r="AL27" s="97">
        <f t="shared" si="13"/>
        <v>40272350.602499947</v>
      </c>
      <c r="AM27" s="59"/>
      <c r="AN27" s="103">
        <f t="shared" si="15"/>
        <v>9614.91</v>
      </c>
      <c r="AO27" s="103">
        <f t="shared" si="16"/>
        <v>4924.71</v>
      </c>
      <c r="AQ27" s="260">
        <v>19874</v>
      </c>
      <c r="AS27" s="263">
        <f>3577+AO27</f>
        <v>8501.7099999999991</v>
      </c>
      <c r="AT27" s="260">
        <v>43593</v>
      </c>
      <c r="AY27">
        <v>0</v>
      </c>
    </row>
    <row r="28" spans="1:51" ht="14" thickBot="1">
      <c r="A28" s="207">
        <v>35033</v>
      </c>
      <c r="B28" s="208"/>
      <c r="C28" s="482"/>
      <c r="D28" s="208">
        <v>-19874</v>
      </c>
      <c r="E28" s="208"/>
      <c r="F28" s="208"/>
      <c r="G28" s="208"/>
      <c r="H28" s="208"/>
      <c r="I28" s="208">
        <f>90959+D28</f>
        <v>71085</v>
      </c>
      <c r="J28" s="101">
        <f t="shared" si="6"/>
        <v>263975.5</v>
      </c>
      <c r="K28" s="608"/>
      <c r="M28" s="208"/>
      <c r="N28" s="208"/>
      <c r="O28" s="208">
        <f>27300+5210</f>
        <v>32510</v>
      </c>
      <c r="P28" s="208"/>
      <c r="Q28" s="208"/>
      <c r="R28" s="101">
        <f t="shared" si="7"/>
        <v>411741.5</v>
      </c>
      <c r="S28" s="608"/>
      <c r="T28" s="59">
        <f t="shared" si="0"/>
        <v>103595</v>
      </c>
      <c r="U28" s="212">
        <v>26471</v>
      </c>
      <c r="V28" s="59">
        <f t="shared" si="5"/>
        <v>90802.15</v>
      </c>
      <c r="X28" s="59">
        <f t="shared" si="8"/>
        <v>675717</v>
      </c>
      <c r="Y28" s="152">
        <f>T28+T27+T26</f>
        <v>207155</v>
      </c>
      <c r="Z28" s="103">
        <f t="shared" si="3"/>
        <v>77124</v>
      </c>
      <c r="AA28" s="59">
        <f t="shared" si="10"/>
        <v>56309.75</v>
      </c>
      <c r="AB28" s="407">
        <f t="shared" si="9"/>
        <v>-108030</v>
      </c>
      <c r="AC28" s="744">
        <f t="shared" si="11"/>
        <v>-0.15987462206811431</v>
      </c>
      <c r="AD28" s="133">
        <f>U28+U27+U26</f>
        <v>-17768</v>
      </c>
      <c r="AE28" s="64"/>
      <c r="AF28" s="208"/>
      <c r="AG28" s="208"/>
      <c r="AH28" s="103">
        <f t="shared" si="14"/>
        <v>-335651.67499999993</v>
      </c>
      <c r="AI28" s="133"/>
      <c r="AJ28" s="406">
        <f t="shared" si="4"/>
        <v>-7066.5999999999913</v>
      </c>
      <c r="AK28" s="101">
        <f t="shared" si="12"/>
        <v>33537.599999999991</v>
      </c>
      <c r="AL28" s="215">
        <f t="shared" si="13"/>
        <v>1124770613.7599995</v>
      </c>
      <c r="AM28" s="101"/>
      <c r="AN28" s="208">
        <f t="shared" si="15"/>
        <v>29144.85</v>
      </c>
      <c r="AO28" s="208">
        <f t="shared" si="16"/>
        <v>14927.849999999999</v>
      </c>
      <c r="AP28" s="64"/>
      <c r="AQ28" s="261">
        <v>-19874</v>
      </c>
      <c r="AS28" s="683">
        <f>90959+AO28</f>
        <v>105886.85</v>
      </c>
      <c r="AT28" s="260">
        <v>32510</v>
      </c>
      <c r="AU28" s="261"/>
      <c r="AY28">
        <v>0</v>
      </c>
    </row>
    <row r="29" spans="1:51">
      <c r="A29" s="63">
        <v>35064</v>
      </c>
      <c r="D29" s="103"/>
      <c r="E29" s="103">
        <v>27298</v>
      </c>
      <c r="F29" s="103"/>
      <c r="G29" s="103"/>
      <c r="H29" s="103"/>
      <c r="I29" s="103">
        <f>D29+E29</f>
        <v>27298</v>
      </c>
      <c r="J29" s="59">
        <f t="shared" si="6"/>
        <v>274102.5</v>
      </c>
      <c r="K29" s="59"/>
      <c r="M29" s="103"/>
      <c r="N29" s="103"/>
      <c r="O29" s="103">
        <f>25076+2968</f>
        <v>28044</v>
      </c>
      <c r="P29" s="103"/>
      <c r="Q29" s="103"/>
      <c r="R29" s="59">
        <f t="shared" si="7"/>
        <v>403706.5</v>
      </c>
      <c r="S29" s="59"/>
      <c r="T29" s="59">
        <f t="shared" si="0"/>
        <v>55342</v>
      </c>
      <c r="U29" s="103">
        <v>-11159</v>
      </c>
      <c r="V29" s="59">
        <f t="shared" si="5"/>
        <v>72230.55</v>
      </c>
      <c r="X29" s="59">
        <f t="shared" si="8"/>
        <v>677809</v>
      </c>
      <c r="Y29" s="152"/>
      <c r="Z29" s="103">
        <f t="shared" si="3"/>
        <v>66501</v>
      </c>
      <c r="AA29" s="59">
        <f t="shared" si="10"/>
        <v>56484.083333333336</v>
      </c>
      <c r="AB29" s="59">
        <f t="shared" si="9"/>
        <v>-118522</v>
      </c>
      <c r="AC29" s="654">
        <f t="shared" si="11"/>
        <v>-0.17486046954230469</v>
      </c>
      <c r="AD29" s="152"/>
      <c r="AE29" s="59">
        <v>5921</v>
      </c>
      <c r="AF29" s="59">
        <f t="shared" ref="AF29:AF40" si="17">U29+AE29</f>
        <v>-5238</v>
      </c>
      <c r="AG29" s="59"/>
      <c r="AH29" s="103">
        <f t="shared" si="14"/>
        <v>-338465.80499999993</v>
      </c>
      <c r="AI29" s="103"/>
      <c r="AJ29" s="293">
        <f t="shared" si="4"/>
        <v>-31361.999999999996</v>
      </c>
      <c r="AK29" s="59">
        <f t="shared" ref="AK29:AK72" si="18">AF29-AJ29</f>
        <v>26123.999999999996</v>
      </c>
      <c r="AL29" s="97">
        <f t="shared" si="13"/>
        <v>682463375.99999976</v>
      </c>
      <c r="AM29" s="59"/>
      <c r="AN29" s="103">
        <f t="shared" si="15"/>
        <v>11192.179999999998</v>
      </c>
      <c r="AO29" s="103">
        <f t="shared" si="16"/>
        <v>5732.58</v>
      </c>
      <c r="AS29" s="263">
        <f>AO29+AP29</f>
        <v>5732.58</v>
      </c>
      <c r="AT29" s="260">
        <v>28044</v>
      </c>
      <c r="AU29" s="260">
        <v>27298</v>
      </c>
      <c r="AY29">
        <v>0</v>
      </c>
    </row>
    <row r="30" spans="1:51">
      <c r="A30" s="63">
        <v>35095</v>
      </c>
      <c r="E30" s="103">
        <v>23048</v>
      </c>
      <c r="F30" s="103"/>
      <c r="G30" s="103"/>
      <c r="H30" s="103"/>
      <c r="I30" s="103">
        <f t="shared" ref="I30:I46" si="19">D30+E30</f>
        <v>23048</v>
      </c>
      <c r="J30" s="59">
        <f t="shared" si="6"/>
        <v>280501.5</v>
      </c>
      <c r="K30" s="59"/>
      <c r="M30" s="103"/>
      <c r="N30" s="103"/>
      <c r="O30" s="103">
        <f>35581+2244</f>
        <v>37825</v>
      </c>
      <c r="P30" s="103"/>
      <c r="Q30" s="103"/>
      <c r="R30" s="59">
        <f t="shared" si="7"/>
        <v>423382.5</v>
      </c>
      <c r="S30" s="59"/>
      <c r="T30" s="59">
        <f t="shared" si="0"/>
        <v>60873</v>
      </c>
      <c r="U30" s="103">
        <v>-3968</v>
      </c>
      <c r="V30" s="59">
        <f t="shared" si="5"/>
        <v>58937.15</v>
      </c>
      <c r="X30" s="59">
        <f t="shared" si="8"/>
        <v>703884</v>
      </c>
      <c r="Y30" s="152"/>
      <c r="Z30" s="103">
        <f t="shared" si="3"/>
        <v>64841</v>
      </c>
      <c r="AA30" s="59">
        <f t="shared" si="10"/>
        <v>58657</v>
      </c>
      <c r="AB30" s="59">
        <f t="shared" si="9"/>
        <v>-90935</v>
      </c>
      <c r="AC30" s="654">
        <f t="shared" si="11"/>
        <v>-0.12919032113245932</v>
      </c>
      <c r="AD30" s="152"/>
      <c r="AE30" s="59">
        <v>836</v>
      </c>
      <c r="AF30" s="59">
        <f t="shared" si="17"/>
        <v>-3132</v>
      </c>
      <c r="AG30" s="59"/>
      <c r="AH30" s="103">
        <f t="shared" si="14"/>
        <v>-317223.5849999999</v>
      </c>
      <c r="AI30" s="103"/>
      <c r="AJ30" s="293">
        <f t="shared" si="4"/>
        <v>-24220.67</v>
      </c>
      <c r="AK30" s="59">
        <f t="shared" si="18"/>
        <v>21088.67</v>
      </c>
      <c r="AL30" s="97">
        <f t="shared" si="13"/>
        <v>444732002.36889994</v>
      </c>
      <c r="AM30" s="59"/>
      <c r="AN30" s="103">
        <f t="shared" si="15"/>
        <v>9449.68</v>
      </c>
      <c r="AO30" s="103">
        <f t="shared" si="16"/>
        <v>4840.08</v>
      </c>
      <c r="AS30" s="263">
        <f t="shared" ref="AS30:AS46" si="20">AO30+AP30</f>
        <v>4840.08</v>
      </c>
      <c r="AT30" s="260">
        <v>37825</v>
      </c>
      <c r="AU30" s="260">
        <v>23048</v>
      </c>
      <c r="AY30">
        <v>0</v>
      </c>
    </row>
    <row r="31" spans="1:51">
      <c r="A31" s="63">
        <v>35124</v>
      </c>
      <c r="E31" s="103">
        <v>19235</v>
      </c>
      <c r="F31" s="103"/>
      <c r="G31" s="103"/>
      <c r="H31" s="103"/>
      <c r="I31" s="103">
        <f t="shared" si="19"/>
        <v>19235</v>
      </c>
      <c r="J31" s="59">
        <f t="shared" si="6"/>
        <v>291710.5</v>
      </c>
      <c r="K31" s="59"/>
      <c r="M31" s="103"/>
      <c r="N31" s="103"/>
      <c r="O31" s="103">
        <f>40689+10101</f>
        <v>50790</v>
      </c>
      <c r="P31" s="103"/>
      <c r="Q31" s="103"/>
      <c r="R31" s="59">
        <f t="shared" si="7"/>
        <v>425704.5</v>
      </c>
      <c r="S31" s="59"/>
      <c r="T31" s="59">
        <f t="shared" si="0"/>
        <v>70025</v>
      </c>
      <c r="U31" s="103">
        <v>7277</v>
      </c>
      <c r="V31" s="59">
        <f t="shared" si="5"/>
        <v>66821.8</v>
      </c>
      <c r="X31" s="59">
        <f t="shared" si="8"/>
        <v>717415</v>
      </c>
      <c r="Y31" s="152">
        <f>T31+T30+T29</f>
        <v>186240</v>
      </c>
      <c r="Z31" s="103">
        <f t="shared" si="3"/>
        <v>62748</v>
      </c>
      <c r="AA31" s="59">
        <f t="shared" si="10"/>
        <v>59784.583333333336</v>
      </c>
      <c r="AB31" s="59">
        <f t="shared" si="9"/>
        <v>-89272</v>
      </c>
      <c r="AC31" s="654">
        <f t="shared" si="11"/>
        <v>-0.12443564742861524</v>
      </c>
      <c r="AD31" s="152">
        <f>U31+U30+U29</f>
        <v>-7850</v>
      </c>
      <c r="AE31" s="59">
        <v>2587</v>
      </c>
      <c r="AF31" s="59">
        <f t="shared" si="17"/>
        <v>9864</v>
      </c>
      <c r="AG31" s="59"/>
      <c r="AH31" s="103">
        <f t="shared" si="14"/>
        <v>-309907.98499999993</v>
      </c>
      <c r="AI31" s="103">
        <f>SUM(T29:T31)</f>
        <v>186240</v>
      </c>
      <c r="AJ31" s="293">
        <f t="shared" si="4"/>
        <v>-13917.199999999997</v>
      </c>
      <c r="AK31" s="59">
        <f t="shared" si="18"/>
        <v>23781.199999999997</v>
      </c>
      <c r="AL31" s="97">
        <f t="shared" si="13"/>
        <v>565545473.43999982</v>
      </c>
      <c r="AM31" s="59"/>
      <c r="AN31" s="103">
        <f t="shared" si="15"/>
        <v>7886.3499999999995</v>
      </c>
      <c r="AO31" s="103">
        <f t="shared" si="16"/>
        <v>4039.35</v>
      </c>
      <c r="AR31" s="684"/>
      <c r="AS31" s="263">
        <f t="shared" si="20"/>
        <v>4039.35</v>
      </c>
      <c r="AT31" s="263">
        <v>50790</v>
      </c>
      <c r="AU31" s="260">
        <v>19235</v>
      </c>
      <c r="AY31">
        <v>0</v>
      </c>
    </row>
    <row r="32" spans="1:51" ht="14" thickBot="1">
      <c r="A32" s="63">
        <v>35155</v>
      </c>
      <c r="E32" s="103">
        <v>22714</v>
      </c>
      <c r="F32" s="103"/>
      <c r="G32" s="103"/>
      <c r="H32" s="103"/>
      <c r="I32" s="103">
        <f t="shared" si="19"/>
        <v>22714</v>
      </c>
      <c r="J32" s="59">
        <f t="shared" si="6"/>
        <v>280923.5</v>
      </c>
      <c r="K32" s="59"/>
      <c r="M32" s="103"/>
      <c r="N32" s="103"/>
      <c r="O32" s="103">
        <f>36811+855+1362+23838</f>
        <v>62866</v>
      </c>
      <c r="P32" s="103"/>
      <c r="Q32" s="103"/>
      <c r="R32" s="59">
        <f t="shared" si="7"/>
        <v>455267.5</v>
      </c>
      <c r="S32" s="59"/>
      <c r="T32" s="59">
        <f t="shared" si="0"/>
        <v>85580</v>
      </c>
      <c r="U32" s="103">
        <v>6783</v>
      </c>
      <c r="V32" s="59">
        <f t="shared" si="5"/>
        <v>80135.75</v>
      </c>
      <c r="X32" s="59">
        <f t="shared" si="8"/>
        <v>736191</v>
      </c>
      <c r="Y32" s="152"/>
      <c r="Z32" s="103">
        <f t="shared" si="3"/>
        <v>78797</v>
      </c>
      <c r="AA32" s="59">
        <f t="shared" si="10"/>
        <v>61349.25</v>
      </c>
      <c r="AB32" s="59">
        <f t="shared" si="9"/>
        <v>-76661</v>
      </c>
      <c r="AC32" s="654">
        <f t="shared" si="11"/>
        <v>-0.10413194401996222</v>
      </c>
      <c r="AD32" s="152"/>
      <c r="AE32" s="59">
        <v>8042</v>
      </c>
      <c r="AF32" s="59">
        <f t="shared" si="17"/>
        <v>14825</v>
      </c>
      <c r="AG32" s="59"/>
      <c r="AH32" s="103">
        <f t="shared" si="14"/>
        <v>-287376.41499999992</v>
      </c>
      <c r="AI32" s="117"/>
      <c r="AJ32" s="293">
        <f t="shared" si="4"/>
        <v>-1086.179999999993</v>
      </c>
      <c r="AK32" s="59">
        <f t="shared" si="18"/>
        <v>15911.179999999993</v>
      </c>
      <c r="AL32" s="97">
        <f t="shared" si="13"/>
        <v>253165648.99239978</v>
      </c>
      <c r="AN32" s="103">
        <f t="shared" si="15"/>
        <v>9312.74</v>
      </c>
      <c r="AO32" s="103">
        <f t="shared" si="16"/>
        <v>4769.9399999999996</v>
      </c>
      <c r="AQ32" s="263"/>
      <c r="AR32" s="685"/>
      <c r="AS32" s="263">
        <f t="shared" si="20"/>
        <v>4769.9399999999996</v>
      </c>
      <c r="AT32" s="263">
        <v>62866</v>
      </c>
      <c r="AU32" s="263">
        <v>22714</v>
      </c>
      <c r="AY32">
        <v>0</v>
      </c>
    </row>
    <row r="33" spans="1:51" ht="14" thickBot="1">
      <c r="A33" s="63">
        <v>35185</v>
      </c>
      <c r="E33" s="103">
        <f>64591+14048-23838</f>
        <v>54801</v>
      </c>
      <c r="F33" s="103"/>
      <c r="G33" s="103"/>
      <c r="H33" s="103"/>
      <c r="I33" s="103">
        <f t="shared" si="19"/>
        <v>54801</v>
      </c>
      <c r="J33" s="59">
        <f t="shared" si="6"/>
        <v>317193</v>
      </c>
      <c r="K33" s="59"/>
      <c r="M33" s="103"/>
      <c r="N33" s="103"/>
      <c r="O33" s="103">
        <f>35061</f>
        <v>35061</v>
      </c>
      <c r="P33" s="103"/>
      <c r="Q33" s="103"/>
      <c r="R33" s="59">
        <f t="shared" si="7"/>
        <v>449852</v>
      </c>
      <c r="S33" s="59"/>
      <c r="T33" s="59">
        <f t="shared" si="0"/>
        <v>89862</v>
      </c>
      <c r="U33" s="249">
        <v>39838</v>
      </c>
      <c r="V33" s="59">
        <f t="shared" si="5"/>
        <v>88363.3</v>
      </c>
      <c r="X33" s="59">
        <f t="shared" si="8"/>
        <v>767045</v>
      </c>
      <c r="Y33" s="152"/>
      <c r="Z33" s="103">
        <f t="shared" si="3"/>
        <v>50024</v>
      </c>
      <c r="AA33" s="59">
        <f t="shared" si="10"/>
        <v>63920.416666666664</v>
      </c>
      <c r="AB33" s="59">
        <f t="shared" si="9"/>
        <v>-34706</v>
      </c>
      <c r="AC33" s="654">
        <f t="shared" si="11"/>
        <v>-4.5246367553402993E-2</v>
      </c>
      <c r="AD33" s="152"/>
      <c r="AE33" s="59">
        <v>-2696</v>
      </c>
      <c r="AF33" s="59">
        <f t="shared" si="17"/>
        <v>37142</v>
      </c>
      <c r="AG33" s="59"/>
      <c r="AH33" s="103">
        <f t="shared" si="14"/>
        <v>-275728.85999999993</v>
      </c>
      <c r="AI33" s="246"/>
      <c r="AJ33" s="293">
        <f t="shared" si="4"/>
        <v>-12184.80999999999</v>
      </c>
      <c r="AK33" s="59">
        <f t="shared" si="18"/>
        <v>49326.80999999999</v>
      </c>
      <c r="AL33" s="97">
        <f t="shared" si="13"/>
        <v>2433134184.7760992</v>
      </c>
      <c r="AN33" s="103">
        <f t="shared" si="15"/>
        <v>22468.41</v>
      </c>
      <c r="AO33" s="103">
        <f t="shared" si="16"/>
        <v>11508.21</v>
      </c>
      <c r="AQ33" s="263"/>
      <c r="AR33" s="684"/>
      <c r="AS33" s="263">
        <f t="shared" si="20"/>
        <v>11508.21</v>
      </c>
      <c r="AT33" s="263">
        <v>35061</v>
      </c>
      <c r="AU33" s="263">
        <v>54801</v>
      </c>
      <c r="AV33" t="s">
        <v>872</v>
      </c>
      <c r="AY33">
        <v>0</v>
      </c>
    </row>
    <row r="34" spans="1:51">
      <c r="A34" s="63">
        <v>35216</v>
      </c>
      <c r="E34" s="103">
        <v>1441</v>
      </c>
      <c r="F34" s="103"/>
      <c r="G34" s="103"/>
      <c r="H34" s="103"/>
      <c r="I34" s="103">
        <f t="shared" si="19"/>
        <v>1441</v>
      </c>
      <c r="J34" s="59">
        <f t="shared" si="6"/>
        <v>289991</v>
      </c>
      <c r="K34" s="59"/>
      <c r="M34" s="103"/>
      <c r="N34" s="103"/>
      <c r="O34" s="103">
        <f>53922+3777</f>
        <v>57699</v>
      </c>
      <c r="P34" s="103"/>
      <c r="Q34" s="103"/>
      <c r="R34" s="59">
        <f t="shared" si="7"/>
        <v>473705</v>
      </c>
      <c r="S34" s="59"/>
      <c r="T34" s="59">
        <f t="shared" si="0"/>
        <v>59140</v>
      </c>
      <c r="U34" s="248">
        <v>-2324</v>
      </c>
      <c r="V34" s="59">
        <f t="shared" si="5"/>
        <v>69892.7</v>
      </c>
      <c r="X34" s="59">
        <f t="shared" si="8"/>
        <v>763696</v>
      </c>
      <c r="Y34" s="152">
        <f>T34+T33+T32</f>
        <v>234582</v>
      </c>
      <c r="Z34" s="103">
        <f t="shared" si="3"/>
        <v>61464</v>
      </c>
      <c r="AA34" s="59">
        <f t="shared" si="10"/>
        <v>63641.333333333336</v>
      </c>
      <c r="AB34" s="59">
        <f t="shared" si="9"/>
        <v>-30182</v>
      </c>
      <c r="AC34" s="654">
        <f t="shared" si="11"/>
        <v>-3.9520961220171374E-2</v>
      </c>
      <c r="AD34" s="152">
        <f>U34+U33+U32</f>
        <v>44297</v>
      </c>
      <c r="AE34" s="59">
        <v>-4619</v>
      </c>
      <c r="AF34" s="59">
        <f t="shared" si="17"/>
        <v>-6943</v>
      </c>
      <c r="AG34" s="59"/>
      <c r="AH34" s="103">
        <f t="shared" si="14"/>
        <v>-266058.48999999993</v>
      </c>
      <c r="AI34" s="246">
        <f>SUM(T29:T34)</f>
        <v>420822</v>
      </c>
      <c r="AJ34" s="293">
        <f t="shared" si="4"/>
        <v>-15677.07</v>
      </c>
      <c r="AK34" s="59">
        <f t="shared" si="18"/>
        <v>8734.07</v>
      </c>
      <c r="AL34" s="97">
        <f t="shared" si="13"/>
        <v>76283978.764899999</v>
      </c>
      <c r="AN34" s="103">
        <f t="shared" si="15"/>
        <v>590.80999999999995</v>
      </c>
      <c r="AO34" s="103">
        <f t="shared" si="16"/>
        <v>302.61</v>
      </c>
      <c r="AQ34" s="263"/>
      <c r="AR34" s="686"/>
      <c r="AS34" s="263">
        <f t="shared" si="20"/>
        <v>302.61</v>
      </c>
      <c r="AT34" s="263">
        <v>57699</v>
      </c>
      <c r="AU34" s="263">
        <v>1441</v>
      </c>
      <c r="AV34" s="103">
        <f>AT34+AT33+AT32+AT31</f>
        <v>206416</v>
      </c>
      <c r="AY34">
        <v>0</v>
      </c>
    </row>
    <row r="35" spans="1:51">
      <c r="A35" s="63">
        <v>35246</v>
      </c>
      <c r="E35" s="103">
        <v>17414</v>
      </c>
      <c r="F35" s="103"/>
      <c r="G35" s="103"/>
      <c r="H35" s="103"/>
      <c r="I35" s="103">
        <f t="shared" si="19"/>
        <v>17414</v>
      </c>
      <c r="J35" s="59">
        <f t="shared" si="6"/>
        <v>291508</v>
      </c>
      <c r="K35" s="59"/>
      <c r="M35" s="103"/>
      <c r="N35" s="103"/>
      <c r="O35" s="103">
        <f>36643+9911</f>
        <v>46554</v>
      </c>
      <c r="P35" s="103"/>
      <c r="Q35" s="103"/>
      <c r="R35" s="59">
        <f t="shared" si="7"/>
        <v>488077</v>
      </c>
      <c r="S35" s="59"/>
      <c r="T35" s="59">
        <f t="shared" si="0"/>
        <v>63968</v>
      </c>
      <c r="U35" s="103">
        <v>13344</v>
      </c>
      <c r="V35" s="59">
        <f t="shared" si="5"/>
        <v>62278.200000000004</v>
      </c>
      <c r="X35" s="59">
        <f t="shared" si="8"/>
        <v>779585</v>
      </c>
      <c r="Y35" s="152"/>
      <c r="Z35" s="103">
        <f t="shared" si="3"/>
        <v>50624</v>
      </c>
      <c r="AA35" s="59">
        <f t="shared" si="10"/>
        <v>64965.416666666664</v>
      </c>
      <c r="AB35" s="59">
        <f t="shared" si="9"/>
        <v>-21382</v>
      </c>
      <c r="AC35" s="654">
        <f t="shared" si="11"/>
        <v>-2.7427413303231847E-2</v>
      </c>
      <c r="AD35" s="152"/>
      <c r="AE35" s="59">
        <v>6299</v>
      </c>
      <c r="AF35" s="59">
        <f t="shared" si="17"/>
        <v>19643</v>
      </c>
      <c r="AG35" s="59"/>
      <c r="AH35" s="103">
        <f t="shared" si="14"/>
        <v>-251994.70999999993</v>
      </c>
      <c r="AI35" s="246">
        <f>SUM(T30:T35)</f>
        <v>429448</v>
      </c>
      <c r="AJ35" s="293">
        <f t="shared" si="4"/>
        <v>-18694.339999999997</v>
      </c>
      <c r="AK35" s="59">
        <f t="shared" si="18"/>
        <v>38337.339999999997</v>
      </c>
      <c r="AL35" s="97">
        <f t="shared" si="13"/>
        <v>1469751638.2755997</v>
      </c>
      <c r="AQ35" s="263"/>
      <c r="AR35" s="684"/>
      <c r="AS35" s="263">
        <f t="shared" si="20"/>
        <v>0</v>
      </c>
      <c r="AT35" s="263">
        <v>46554</v>
      </c>
      <c r="AU35" s="263">
        <v>17414</v>
      </c>
      <c r="AV35" s="103">
        <f t="shared" ref="AV35:AV44" si="21">AT35+AT34+AT33+AT32</f>
        <v>202180</v>
      </c>
      <c r="AY35">
        <v>0</v>
      </c>
    </row>
    <row r="36" spans="1:51">
      <c r="A36" s="63">
        <v>35277</v>
      </c>
      <c r="E36" s="103">
        <v>2437</v>
      </c>
      <c r="F36" s="103"/>
      <c r="G36" s="103"/>
      <c r="H36" s="103"/>
      <c r="I36" s="103">
        <f t="shared" si="19"/>
        <v>2437</v>
      </c>
      <c r="J36" s="59">
        <f t="shared" si="6"/>
        <v>271161</v>
      </c>
      <c r="K36" s="59"/>
      <c r="M36" s="103"/>
      <c r="N36" s="103"/>
      <c r="O36" s="103">
        <f>18762+1969</f>
        <v>20731</v>
      </c>
      <c r="P36" s="103"/>
      <c r="Q36" s="103"/>
      <c r="R36" s="59">
        <f t="shared" si="7"/>
        <v>485751</v>
      </c>
      <c r="S36" s="59"/>
      <c r="T36" s="59">
        <f t="shared" si="0"/>
        <v>23168</v>
      </c>
      <c r="U36" s="103">
        <v>-45930</v>
      </c>
      <c r="V36" s="59">
        <f t="shared" si="5"/>
        <v>37448</v>
      </c>
      <c r="X36" s="59">
        <f t="shared" si="8"/>
        <v>756912</v>
      </c>
      <c r="Y36" s="152"/>
      <c r="Z36" s="103">
        <f t="shared" si="3"/>
        <v>69098</v>
      </c>
      <c r="AA36" s="59">
        <f t="shared" si="10"/>
        <v>63076</v>
      </c>
      <c r="AB36" s="59">
        <f t="shared" si="9"/>
        <v>-58093</v>
      </c>
      <c r="AC36" s="654">
        <f t="shared" si="11"/>
        <v>-7.6750005284630177E-2</v>
      </c>
      <c r="AD36" s="152"/>
      <c r="AE36" s="59">
        <v>6776</v>
      </c>
      <c r="AF36" s="59">
        <f t="shared" si="17"/>
        <v>-39154</v>
      </c>
      <c r="AG36" s="59"/>
      <c r="AH36" s="103">
        <f t="shared" si="14"/>
        <v>-263517.50999999995</v>
      </c>
      <c r="AI36" s="246">
        <f>SUM(T31:T36)</f>
        <v>391743</v>
      </c>
      <c r="AJ36" s="293">
        <f t="shared" si="4"/>
        <v>-49599.149999999994</v>
      </c>
      <c r="AK36" s="59">
        <f t="shared" si="18"/>
        <v>10445.149999999994</v>
      </c>
      <c r="AL36" s="97">
        <f t="shared" si="13"/>
        <v>109101158.52249987</v>
      </c>
      <c r="AQ36" s="263"/>
      <c r="AR36" s="685"/>
      <c r="AS36" s="263">
        <f t="shared" si="20"/>
        <v>0</v>
      </c>
      <c r="AT36" s="263">
        <v>20731</v>
      </c>
      <c r="AU36" s="263">
        <v>2437</v>
      </c>
      <c r="AV36" s="103">
        <f t="shared" si="21"/>
        <v>160045</v>
      </c>
      <c r="AY36">
        <v>0</v>
      </c>
    </row>
    <row r="37" spans="1:51">
      <c r="A37" s="63">
        <v>35308</v>
      </c>
      <c r="D37" s="59">
        <v>56239</v>
      </c>
      <c r="E37" s="59">
        <v>1441</v>
      </c>
      <c r="F37" s="59"/>
      <c r="G37" s="59"/>
      <c r="H37" s="59"/>
      <c r="I37" s="103">
        <f t="shared" si="19"/>
        <v>57680</v>
      </c>
      <c r="J37" s="59">
        <f t="shared" si="6"/>
        <v>320604</v>
      </c>
      <c r="K37" s="59"/>
      <c r="M37" s="59"/>
      <c r="N37" s="59"/>
      <c r="O37" s="59">
        <f>18105+1969</f>
        <v>20074</v>
      </c>
      <c r="P37" s="59"/>
      <c r="Q37" s="59"/>
      <c r="R37" s="59">
        <f t="shared" si="7"/>
        <v>472263</v>
      </c>
      <c r="S37" s="59"/>
      <c r="T37" s="59">
        <f t="shared" si="0"/>
        <v>77754</v>
      </c>
      <c r="U37" s="59">
        <v>30148</v>
      </c>
      <c r="V37" s="59">
        <f t="shared" si="5"/>
        <v>58648.899999999994</v>
      </c>
      <c r="X37" s="59">
        <f t="shared" si="8"/>
        <v>792867</v>
      </c>
      <c r="Y37" s="152">
        <f>T37+T36+T35</f>
        <v>164890</v>
      </c>
      <c r="Z37" s="103">
        <f t="shared" si="3"/>
        <v>47606</v>
      </c>
      <c r="AA37" s="59">
        <f t="shared" si="10"/>
        <v>66072.25</v>
      </c>
      <c r="AB37" s="59">
        <f t="shared" si="9"/>
        <v>16241</v>
      </c>
      <c r="AC37" s="654">
        <f t="shared" si="11"/>
        <v>2.0483889479572234E-2</v>
      </c>
      <c r="AD37" s="152">
        <f>U37+U36+U35</f>
        <v>-2438</v>
      </c>
      <c r="AE37" s="59">
        <v>1147</v>
      </c>
      <c r="AF37" s="59">
        <f t="shared" si="17"/>
        <v>31295</v>
      </c>
      <c r="AH37" s="103">
        <f t="shared" si="14"/>
        <v>-253317.56999999995</v>
      </c>
      <c r="AI37" s="103"/>
      <c r="AJ37" s="293">
        <f t="shared" si="4"/>
        <v>-24798.379999999997</v>
      </c>
      <c r="AK37" s="59">
        <f t="shared" si="18"/>
        <v>56093.38</v>
      </c>
      <c r="AL37" s="97">
        <f t="shared" si="13"/>
        <v>3146467279.8243995</v>
      </c>
      <c r="AQ37" s="260">
        <v>56239</v>
      </c>
      <c r="AR37" s="684"/>
      <c r="AS37" s="263">
        <f t="shared" si="20"/>
        <v>0</v>
      </c>
      <c r="AT37" s="263">
        <v>20074</v>
      </c>
      <c r="AU37" s="260">
        <v>1441</v>
      </c>
      <c r="AV37" s="103">
        <f t="shared" si="21"/>
        <v>145058</v>
      </c>
      <c r="AY37">
        <v>0</v>
      </c>
    </row>
    <row r="38" spans="1:51">
      <c r="A38" s="63">
        <v>35338</v>
      </c>
      <c r="D38" s="59">
        <v>-44500</v>
      </c>
      <c r="E38" s="59">
        <v>7669</v>
      </c>
      <c r="F38" s="59"/>
      <c r="G38" s="59"/>
      <c r="H38" s="59"/>
      <c r="I38" s="103">
        <v>7669</v>
      </c>
      <c r="J38" s="59">
        <f t="shared" si="6"/>
        <v>328273</v>
      </c>
      <c r="K38" s="59"/>
      <c r="M38" s="59"/>
      <c r="N38" s="59"/>
      <c r="O38" s="59">
        <f>33814+298</f>
        <v>34112</v>
      </c>
      <c r="P38" s="59"/>
      <c r="Q38" s="59"/>
      <c r="R38" s="59">
        <f t="shared" si="7"/>
        <v>469859</v>
      </c>
      <c r="S38" s="59"/>
      <c r="T38" s="59">
        <f>D38+I38+O38</f>
        <v>-2719</v>
      </c>
      <c r="U38" s="59">
        <v>-52093</v>
      </c>
      <c r="V38" s="59">
        <f t="shared" si="5"/>
        <v>25446.55</v>
      </c>
      <c r="X38" s="59">
        <f t="shared" si="8"/>
        <v>753632</v>
      </c>
      <c r="Z38" s="103">
        <f t="shared" si="3"/>
        <v>49374</v>
      </c>
      <c r="AA38" s="59">
        <f t="shared" si="10"/>
        <v>62802.666666666664</v>
      </c>
      <c r="AB38" s="59">
        <f t="shared" si="9"/>
        <v>-3938</v>
      </c>
      <c r="AC38" s="654">
        <f t="shared" si="11"/>
        <v>-5.2253619803829983E-3</v>
      </c>
      <c r="AE38" s="59">
        <v>6017</v>
      </c>
      <c r="AF38" s="59">
        <f t="shared" si="17"/>
        <v>-46076</v>
      </c>
      <c r="AH38" s="103">
        <f t="shared" si="14"/>
        <v>-252025.54999999993</v>
      </c>
      <c r="AI38" s="246">
        <f>SUM(T33:T43)</f>
        <v>717122</v>
      </c>
      <c r="AJ38" s="293">
        <f t="shared" si="4"/>
        <v>-34748.099999999991</v>
      </c>
      <c r="AK38" s="59">
        <f t="shared" si="18"/>
        <v>-11327.900000000009</v>
      </c>
      <c r="AL38" s="97">
        <f t="shared" si="13"/>
        <v>128321318.41000021</v>
      </c>
      <c r="AQ38" s="260">
        <v>-44500</v>
      </c>
      <c r="AR38" s="684"/>
      <c r="AS38" s="263">
        <v>7669</v>
      </c>
      <c r="AT38" s="263">
        <v>34112</v>
      </c>
      <c r="AU38" s="260">
        <v>7669</v>
      </c>
      <c r="AV38" s="103">
        <f t="shared" si="21"/>
        <v>121471</v>
      </c>
      <c r="AY38">
        <v>0</v>
      </c>
    </row>
    <row r="39" spans="1:51">
      <c r="A39" s="63">
        <v>35369</v>
      </c>
      <c r="D39" s="59">
        <v>7682</v>
      </c>
      <c r="E39" s="59">
        <v>-8587</v>
      </c>
      <c r="F39" s="59"/>
      <c r="G39" s="59"/>
      <c r="H39" s="59"/>
      <c r="I39" s="103">
        <f t="shared" si="19"/>
        <v>-905</v>
      </c>
      <c r="J39" s="59">
        <f t="shared" si="6"/>
        <v>303917</v>
      </c>
      <c r="K39" s="59"/>
      <c r="M39" s="59"/>
      <c r="N39" s="59"/>
      <c r="O39" s="59">
        <f>17633+4156+17500</f>
        <v>39289</v>
      </c>
      <c r="P39" s="59"/>
      <c r="Q39" s="59"/>
      <c r="R39" s="59">
        <f t="shared" si="7"/>
        <v>465555</v>
      </c>
      <c r="S39" s="59"/>
      <c r="T39" s="59">
        <f>I39+O39</f>
        <v>38384</v>
      </c>
      <c r="U39" s="59">
        <v>-49727</v>
      </c>
      <c r="V39" s="59">
        <f t="shared" si="5"/>
        <v>23997.95</v>
      </c>
      <c r="X39" s="59">
        <f>SUM(T28:T39)</f>
        <v>724972</v>
      </c>
      <c r="Z39" s="103">
        <f t="shared" si="3"/>
        <v>88111</v>
      </c>
      <c r="AA39" s="59">
        <f t="shared" si="10"/>
        <v>60414.333333333336</v>
      </c>
      <c r="AB39" s="59">
        <f t="shared" si="9"/>
        <v>-41340</v>
      </c>
      <c r="AC39" s="654">
        <f t="shared" si="11"/>
        <v>-5.7022891918584444E-2</v>
      </c>
      <c r="AE39" s="59">
        <v>-2026</v>
      </c>
      <c r="AF39" s="59">
        <f t="shared" si="17"/>
        <v>-51753</v>
      </c>
      <c r="AH39" s="103">
        <f t="shared" si="14"/>
        <v>-267232.02999999991</v>
      </c>
      <c r="AJ39" s="293">
        <f t="shared" si="4"/>
        <v>-33877.53</v>
      </c>
      <c r="AK39" s="59">
        <f t="shared" si="18"/>
        <v>-17875.47</v>
      </c>
      <c r="AL39" s="97">
        <f t="shared" si="13"/>
        <v>319532427.72090006</v>
      </c>
      <c r="AQ39" s="260">
        <v>7682</v>
      </c>
      <c r="AR39" s="684"/>
      <c r="AS39" s="263">
        <f t="shared" si="20"/>
        <v>0</v>
      </c>
      <c r="AT39" s="263">
        <v>39289</v>
      </c>
      <c r="AU39" s="260">
        <v>-8587</v>
      </c>
      <c r="AV39" s="103">
        <f t="shared" si="21"/>
        <v>114206</v>
      </c>
      <c r="AY39">
        <v>0</v>
      </c>
    </row>
    <row r="40" spans="1:51">
      <c r="A40" s="207">
        <v>35399</v>
      </c>
      <c r="B40" s="208"/>
      <c r="C40" s="482"/>
      <c r="D40" s="208">
        <v>-19421</v>
      </c>
      <c r="E40" s="208">
        <f>80763+9441</f>
        <v>90204</v>
      </c>
      <c r="F40" s="208"/>
      <c r="G40" s="208"/>
      <c r="H40" s="208"/>
      <c r="I40" s="208">
        <f t="shared" si="19"/>
        <v>70783</v>
      </c>
      <c r="J40" s="101">
        <f t="shared" si="6"/>
        <v>303615</v>
      </c>
      <c r="K40" s="608"/>
      <c r="M40" s="208"/>
      <c r="N40" s="208"/>
      <c r="O40" s="208">
        <f>49360+10782</f>
        <v>60142</v>
      </c>
      <c r="P40" s="208"/>
      <c r="Q40" s="208"/>
      <c r="R40" s="101">
        <f t="shared" si="7"/>
        <v>493187</v>
      </c>
      <c r="S40" s="608"/>
      <c r="T40" s="59">
        <f>I40+O40</f>
        <v>130925</v>
      </c>
      <c r="U40" s="101">
        <v>68117</v>
      </c>
      <c r="V40" s="59">
        <f t="shared" si="5"/>
        <v>98535.65</v>
      </c>
      <c r="X40" s="101">
        <f t="shared" ref="X40:X72" si="22">SUM(T29:T40)</f>
        <v>752302</v>
      </c>
      <c r="Y40" s="101">
        <f>T40+T39+T38</f>
        <v>166590</v>
      </c>
      <c r="Z40" s="103">
        <f t="shared" si="3"/>
        <v>62808</v>
      </c>
      <c r="AA40" s="59">
        <f t="shared" si="10"/>
        <v>62691.833333333336</v>
      </c>
      <c r="AB40" s="101">
        <f t="shared" si="9"/>
        <v>306</v>
      </c>
      <c r="AC40" s="744">
        <f t="shared" si="11"/>
        <v>4.0675154392783751E-4</v>
      </c>
      <c r="AD40" s="133">
        <f>U40+U39+U38</f>
        <v>-33703</v>
      </c>
      <c r="AE40" s="101">
        <v>-11500</v>
      </c>
      <c r="AF40" s="101">
        <f t="shared" si="17"/>
        <v>56617</v>
      </c>
      <c r="AG40" s="208">
        <f t="shared" ref="AG40:AG72" si="23">SUM(AF29:AF40)</f>
        <v>17090</v>
      </c>
      <c r="AH40" s="208">
        <f t="shared" si="14"/>
        <v>-241673.18999999994</v>
      </c>
      <c r="AI40" s="64"/>
      <c r="AJ40" s="406">
        <f t="shared" si="4"/>
        <v>18492.240000000005</v>
      </c>
      <c r="AK40" s="101">
        <f t="shared" si="18"/>
        <v>38124.759999999995</v>
      </c>
      <c r="AL40" s="215">
        <f t="shared" si="13"/>
        <v>1453497325.0575995</v>
      </c>
      <c r="AM40" s="64"/>
      <c r="AN40" s="64"/>
      <c r="AO40" s="64"/>
      <c r="AQ40" s="260">
        <v>-19421</v>
      </c>
      <c r="AR40" s="684"/>
      <c r="AS40" s="683">
        <f t="shared" si="20"/>
        <v>0</v>
      </c>
      <c r="AT40" s="263">
        <v>60142</v>
      </c>
      <c r="AU40" s="260">
        <v>90204</v>
      </c>
      <c r="AV40" s="103">
        <f t="shared" si="21"/>
        <v>153617</v>
      </c>
      <c r="AY40">
        <v>0</v>
      </c>
    </row>
    <row r="41" spans="1:51">
      <c r="A41" s="63">
        <v>35430</v>
      </c>
      <c r="D41">
        <v>8964</v>
      </c>
      <c r="E41" s="59">
        <v>28411</v>
      </c>
      <c r="F41" s="59"/>
      <c r="G41" s="59"/>
      <c r="H41" s="59"/>
      <c r="I41" s="103">
        <f t="shared" si="19"/>
        <v>37375</v>
      </c>
      <c r="J41" s="59">
        <f t="shared" si="6"/>
        <v>313692</v>
      </c>
      <c r="K41" s="59"/>
      <c r="M41" s="59"/>
      <c r="N41" s="59"/>
      <c r="O41" s="59">
        <f>17399+1691</f>
        <v>19090</v>
      </c>
      <c r="P41" s="59"/>
      <c r="Q41" s="59"/>
      <c r="R41" s="59">
        <f t="shared" si="7"/>
        <v>484233</v>
      </c>
      <c r="S41" s="59"/>
      <c r="T41" s="59">
        <f t="shared" ref="T41:T46" si="24">D41+I41+O41</f>
        <v>65429</v>
      </c>
      <c r="U41" s="59">
        <f>AF41-AE59</f>
        <v>-2844</v>
      </c>
      <c r="V41" s="59">
        <f t="shared" si="5"/>
        <v>88352.6</v>
      </c>
      <c r="X41" s="59">
        <f t="shared" si="22"/>
        <v>762389</v>
      </c>
      <c r="Y41" s="250"/>
      <c r="Z41" s="103">
        <f t="shared" si="3"/>
        <v>68273</v>
      </c>
      <c r="AA41" s="59">
        <f t="shared" si="10"/>
        <v>63532.416666666664</v>
      </c>
      <c r="AB41" s="59">
        <f t="shared" si="9"/>
        <v>8621</v>
      </c>
      <c r="AC41" s="654">
        <f t="shared" si="11"/>
        <v>1.130787563828964E-2</v>
      </c>
      <c r="AE41" s="59">
        <v>0</v>
      </c>
      <c r="AF41" s="103">
        <v>-2844</v>
      </c>
      <c r="AG41" s="103">
        <f t="shared" si="23"/>
        <v>19484</v>
      </c>
      <c r="AH41" s="103">
        <f t="shared" si="14"/>
        <v>-245364.98999999993</v>
      </c>
      <c r="AJ41" s="293">
        <f t="shared" si="4"/>
        <v>-35053.800000000003</v>
      </c>
      <c r="AK41" s="59">
        <f t="shared" si="18"/>
        <v>32209.800000000003</v>
      </c>
      <c r="AL41" s="97">
        <f t="shared" si="13"/>
        <v>1037471216.0400002</v>
      </c>
      <c r="AQ41" s="260">
        <v>8964</v>
      </c>
      <c r="AR41" s="684"/>
      <c r="AS41" s="263">
        <f t="shared" si="20"/>
        <v>0</v>
      </c>
      <c r="AT41" s="263">
        <v>19090</v>
      </c>
      <c r="AU41" s="260">
        <v>28411</v>
      </c>
      <c r="AV41" s="103">
        <f t="shared" si="21"/>
        <v>152633</v>
      </c>
      <c r="AY41">
        <v>0</v>
      </c>
    </row>
    <row r="42" spans="1:51">
      <c r="A42" s="63">
        <v>35461</v>
      </c>
      <c r="D42">
        <v>36197</v>
      </c>
      <c r="E42" s="59">
        <v>21768</v>
      </c>
      <c r="F42" s="59"/>
      <c r="G42" s="59"/>
      <c r="H42" s="59"/>
      <c r="I42" s="103">
        <f t="shared" si="19"/>
        <v>57965</v>
      </c>
      <c r="J42" s="59">
        <f t="shared" si="6"/>
        <v>348609</v>
      </c>
      <c r="K42" s="59"/>
      <c r="M42" s="59"/>
      <c r="N42" s="59"/>
      <c r="O42" s="59">
        <f>38317+5340</f>
        <v>43657</v>
      </c>
      <c r="P42" s="59"/>
      <c r="Q42" s="59"/>
      <c r="R42" s="59">
        <f t="shared" si="7"/>
        <v>490065</v>
      </c>
      <c r="S42" s="59"/>
      <c r="T42" s="59">
        <f t="shared" si="24"/>
        <v>137819</v>
      </c>
      <c r="U42" s="59">
        <f>AF42-AE57</f>
        <v>2679</v>
      </c>
      <c r="V42" s="59">
        <f t="shared" si="5"/>
        <v>112482.5</v>
      </c>
      <c r="X42" s="59">
        <f t="shared" si="22"/>
        <v>839335</v>
      </c>
      <c r="Y42" s="250"/>
      <c r="Z42" s="103">
        <f t="shared" si="3"/>
        <v>135140</v>
      </c>
      <c r="AA42" s="59">
        <f t="shared" si="10"/>
        <v>69944.583333333328</v>
      </c>
      <c r="AB42" s="59">
        <f t="shared" si="9"/>
        <v>15268</v>
      </c>
      <c r="AC42" s="654">
        <f t="shared" si="11"/>
        <v>1.8190591361017947E-2</v>
      </c>
      <c r="AE42" s="59">
        <v>-1417</v>
      </c>
      <c r="AF42" s="103">
        <v>2635</v>
      </c>
      <c r="AG42" s="103">
        <f t="shared" si="23"/>
        <v>25251</v>
      </c>
      <c r="AH42" s="103">
        <f t="shared" si="14"/>
        <v>-223879.40999999995</v>
      </c>
      <c r="AJ42" s="293">
        <f t="shared" si="4"/>
        <v>-2735.0899999999965</v>
      </c>
      <c r="AK42" s="59">
        <f t="shared" si="18"/>
        <v>5370.0899999999965</v>
      </c>
      <c r="AL42" s="97">
        <f t="shared" si="13"/>
        <v>28837866.608099964</v>
      </c>
      <c r="AQ42" s="260">
        <v>36197</v>
      </c>
      <c r="AR42" s="684"/>
      <c r="AS42" s="263">
        <f t="shared" si="20"/>
        <v>0</v>
      </c>
      <c r="AT42" s="263">
        <v>43657</v>
      </c>
      <c r="AU42" s="260">
        <v>21768</v>
      </c>
      <c r="AV42" s="103">
        <f t="shared" si="21"/>
        <v>162178</v>
      </c>
      <c r="AW42" s="103">
        <v>223186</v>
      </c>
      <c r="AX42" s="183">
        <f>AW42/X42*365</f>
        <v>97.056467322344474</v>
      </c>
      <c r="AY42">
        <v>0</v>
      </c>
    </row>
    <row r="43" spans="1:51">
      <c r="A43" s="63">
        <v>35489</v>
      </c>
      <c r="D43" s="59">
        <v>-45161</v>
      </c>
      <c r="E43">
        <v>67234</v>
      </c>
      <c r="I43" s="103">
        <f t="shared" si="19"/>
        <v>22073</v>
      </c>
      <c r="J43" s="59">
        <f t="shared" si="6"/>
        <v>351447</v>
      </c>
      <c r="K43" s="59"/>
      <c r="M43" s="59"/>
      <c r="N43" s="59"/>
      <c r="O43" s="59">
        <f>52627+3853</f>
        <v>56480</v>
      </c>
      <c r="P43" s="59"/>
      <c r="Q43" s="59"/>
      <c r="R43" s="59">
        <f t="shared" si="7"/>
        <v>495755</v>
      </c>
      <c r="S43" s="59"/>
      <c r="T43" s="59">
        <f t="shared" si="24"/>
        <v>33392</v>
      </c>
      <c r="U43" s="59">
        <f>AF43-AE58</f>
        <v>29361</v>
      </c>
      <c r="V43" s="59">
        <f t="shared" si="5"/>
        <v>69941.45</v>
      </c>
      <c r="X43" s="59">
        <f t="shared" si="22"/>
        <v>802702</v>
      </c>
      <c r="Y43" s="152">
        <f>T43+T42+T41</f>
        <v>236640</v>
      </c>
      <c r="Z43" s="103">
        <f t="shared" si="3"/>
        <v>4031</v>
      </c>
      <c r="AA43" s="59">
        <f t="shared" si="10"/>
        <v>66891.833333333328</v>
      </c>
      <c r="AB43" s="59">
        <f t="shared" si="9"/>
        <v>37352</v>
      </c>
      <c r="AC43" s="654">
        <f t="shared" si="11"/>
        <v>4.6532835348610073E-2</v>
      </c>
      <c r="AD43" s="133">
        <f>U43+U42+U41</f>
        <v>29196</v>
      </c>
      <c r="AE43">
        <v>11</v>
      </c>
      <c r="AF43" s="103">
        <v>29317</v>
      </c>
      <c r="AG43" s="103">
        <f t="shared" si="23"/>
        <v>44704</v>
      </c>
      <c r="AH43" s="103">
        <f t="shared" si="14"/>
        <v>-217282.22999999992</v>
      </c>
      <c r="AJ43" s="293">
        <f t="shared" si="4"/>
        <v>-7320.0199999999968</v>
      </c>
      <c r="AK43" s="59">
        <f t="shared" si="18"/>
        <v>36637.019999999997</v>
      </c>
      <c r="AL43" s="97">
        <f t="shared" si="13"/>
        <v>1342271234.4803998</v>
      </c>
      <c r="AQ43" s="260">
        <v>-45161</v>
      </c>
      <c r="AR43" s="684"/>
      <c r="AS43" s="263">
        <f t="shared" si="20"/>
        <v>0</v>
      </c>
      <c r="AT43" s="263">
        <v>56480</v>
      </c>
      <c r="AU43" s="260">
        <v>67234</v>
      </c>
      <c r="AV43" s="103">
        <f t="shared" si="21"/>
        <v>179369</v>
      </c>
      <c r="AW43" s="103">
        <v>276733</v>
      </c>
      <c r="AX43" s="183">
        <f>AW43/X43*365</f>
        <v>125.83442547794823</v>
      </c>
      <c r="AY43">
        <v>0</v>
      </c>
    </row>
    <row r="44" spans="1:51">
      <c r="A44" s="63">
        <v>35520</v>
      </c>
      <c r="D44" s="59">
        <v>31659</v>
      </c>
      <c r="E44">
        <v>23513</v>
      </c>
      <c r="I44" s="103">
        <f t="shared" si="19"/>
        <v>55172</v>
      </c>
      <c r="J44" s="59">
        <f t="shared" si="6"/>
        <v>383905</v>
      </c>
      <c r="K44" s="59"/>
      <c r="M44" s="59"/>
      <c r="N44" s="59"/>
      <c r="O44" s="59">
        <f>44070+5116</f>
        <v>49186</v>
      </c>
      <c r="P44" s="59"/>
      <c r="Q44" s="59"/>
      <c r="R44" s="59">
        <f t="shared" si="7"/>
        <v>482075</v>
      </c>
      <c r="S44" s="59"/>
      <c r="T44" s="59">
        <f t="shared" si="24"/>
        <v>136017</v>
      </c>
      <c r="U44" s="59">
        <f>AF44-AE59</f>
        <v>11381</v>
      </c>
      <c r="V44" s="59">
        <f t="shared" si="5"/>
        <v>100098.25</v>
      </c>
      <c r="X44" s="59">
        <f t="shared" si="22"/>
        <v>853139</v>
      </c>
      <c r="Y44" s="152"/>
      <c r="Z44" s="103">
        <f t="shared" si="3"/>
        <v>124636</v>
      </c>
      <c r="AA44" s="59">
        <f t="shared" si="10"/>
        <v>71094.916666666672</v>
      </c>
      <c r="AB44" s="59">
        <f t="shared" si="9"/>
        <v>41950</v>
      </c>
      <c r="AC44" s="654">
        <f t="shared" si="11"/>
        <v>4.9171354257629765E-2</v>
      </c>
      <c r="AE44">
        <v>-126</v>
      </c>
      <c r="AF44" s="103">
        <v>11381</v>
      </c>
      <c r="AG44" s="103">
        <f t="shared" si="23"/>
        <v>41260</v>
      </c>
      <c r="AH44" s="103">
        <f t="shared" si="14"/>
        <v>-215073.94999999992</v>
      </c>
      <c r="AJ44" s="293">
        <f t="shared" si="4"/>
        <v>1122.1000000000058</v>
      </c>
      <c r="AK44" s="59">
        <f t="shared" si="18"/>
        <v>10258.899999999994</v>
      </c>
      <c r="AL44" s="97">
        <f t="shared" si="13"/>
        <v>105245029.20999987</v>
      </c>
      <c r="AQ44" s="260">
        <v>31659</v>
      </c>
      <c r="AR44" s="684"/>
      <c r="AS44" s="263">
        <f t="shared" si="20"/>
        <v>0</v>
      </c>
      <c r="AT44" s="263">
        <v>49186</v>
      </c>
      <c r="AU44" s="260">
        <v>23513</v>
      </c>
      <c r="AV44" s="103">
        <f t="shared" si="21"/>
        <v>168413</v>
      </c>
      <c r="AW44" s="103">
        <v>354786.23</v>
      </c>
      <c r="AX44" s="183">
        <f>AW44/X44*365</f>
        <v>151.78883388287255</v>
      </c>
      <c r="AY44">
        <v>0</v>
      </c>
    </row>
    <row r="45" spans="1:51">
      <c r="A45" s="63">
        <v>35550</v>
      </c>
      <c r="D45" s="59">
        <v>-11659</v>
      </c>
      <c r="E45">
        <v>37968</v>
      </c>
      <c r="I45" s="103">
        <f t="shared" si="19"/>
        <v>26309</v>
      </c>
      <c r="J45" s="59">
        <f t="shared" si="6"/>
        <v>355413</v>
      </c>
      <c r="K45" s="59"/>
      <c r="M45" s="59"/>
      <c r="N45" s="59"/>
      <c r="O45" s="59">
        <f>38502+435</f>
        <v>38937</v>
      </c>
      <c r="P45" s="59"/>
      <c r="Q45" s="59"/>
      <c r="R45" s="59">
        <f t="shared" si="7"/>
        <v>485951</v>
      </c>
      <c r="S45" s="59"/>
      <c r="T45" s="59">
        <f t="shared" si="24"/>
        <v>53587</v>
      </c>
      <c r="U45" s="59">
        <f>AF45-AE60</f>
        <v>2670</v>
      </c>
      <c r="V45" s="59">
        <f t="shared" si="5"/>
        <v>82437.5</v>
      </c>
      <c r="X45" s="59">
        <f t="shared" si="22"/>
        <v>816864</v>
      </c>
      <c r="Y45" s="152"/>
      <c r="Z45" s="103">
        <f t="shared" si="3"/>
        <v>50917</v>
      </c>
      <c r="AA45" s="59">
        <f t="shared" si="10"/>
        <v>68072</v>
      </c>
      <c r="AB45" s="59">
        <f t="shared" si="9"/>
        <v>4782</v>
      </c>
      <c r="AC45" s="654">
        <f t="shared" si="11"/>
        <v>5.8540956634152074E-3</v>
      </c>
      <c r="AE45">
        <v>-1133</v>
      </c>
      <c r="AF45" s="314">
        <v>2670</v>
      </c>
      <c r="AG45" s="103">
        <f t="shared" si="23"/>
        <v>6788</v>
      </c>
      <c r="AH45" s="103">
        <f t="shared" si="14"/>
        <v>-224575.58999999991</v>
      </c>
      <c r="AJ45" s="293">
        <f t="shared" si="4"/>
        <v>-21686.449999999997</v>
      </c>
      <c r="AK45" s="59">
        <f t="shared" si="18"/>
        <v>24356.449999999997</v>
      </c>
      <c r="AL45" s="97">
        <f t="shared" si="13"/>
        <v>593236656.60249984</v>
      </c>
      <c r="AQ45" s="260">
        <v>-11659</v>
      </c>
      <c r="AR45" s="684"/>
      <c r="AS45" s="263">
        <f t="shared" si="20"/>
        <v>0</v>
      </c>
      <c r="AT45" s="260">
        <v>38937</v>
      </c>
      <c r="AU45" s="260">
        <v>37968</v>
      </c>
      <c r="AY45">
        <v>0</v>
      </c>
    </row>
    <row r="46" spans="1:51">
      <c r="A46" s="63">
        <v>35581</v>
      </c>
      <c r="D46" s="59">
        <v>27624</v>
      </c>
      <c r="E46">
        <v>38260</v>
      </c>
      <c r="I46" s="103">
        <f t="shared" si="19"/>
        <v>65884</v>
      </c>
      <c r="J46" s="59">
        <f t="shared" si="6"/>
        <v>419856</v>
      </c>
      <c r="K46" s="59"/>
      <c r="M46" s="59"/>
      <c r="N46" s="59"/>
      <c r="O46" s="59">
        <f>47484+11162</f>
        <v>58646</v>
      </c>
      <c r="P46" s="59"/>
      <c r="Q46" s="59"/>
      <c r="R46" s="59">
        <f t="shared" si="7"/>
        <v>486898</v>
      </c>
      <c r="S46" s="59"/>
      <c r="T46" s="59">
        <f t="shared" si="24"/>
        <v>152154</v>
      </c>
      <c r="U46" s="59">
        <f>AG45-AE61</f>
        <v>6788</v>
      </c>
      <c r="V46" s="59">
        <f t="shared" si="5"/>
        <v>117655.55</v>
      </c>
      <c r="X46" s="59">
        <f t="shared" si="22"/>
        <v>909878</v>
      </c>
      <c r="Y46" s="152">
        <f>T46+T45+T44</f>
        <v>341758</v>
      </c>
      <c r="Z46" s="103">
        <f t="shared" si="3"/>
        <v>145366</v>
      </c>
      <c r="AA46" s="59">
        <f t="shared" si="10"/>
        <v>75823.166666666672</v>
      </c>
      <c r="AB46" s="59">
        <f t="shared" si="9"/>
        <v>13894</v>
      </c>
      <c r="AC46" s="654">
        <f t="shared" si="11"/>
        <v>1.5270179078953443E-2</v>
      </c>
      <c r="AE46">
        <v>52</v>
      </c>
      <c r="AF46" s="103">
        <v>22439</v>
      </c>
      <c r="AG46" s="103">
        <f t="shared" si="23"/>
        <v>36170</v>
      </c>
      <c r="AH46" s="103">
        <f t="shared" si="14"/>
        <v>-194051.09999999995</v>
      </c>
      <c r="AJ46" s="293">
        <f t="shared" si="4"/>
        <v>14847.420000000006</v>
      </c>
      <c r="AK46" s="59">
        <f t="shared" si="18"/>
        <v>7591.5799999999945</v>
      </c>
      <c r="AL46" s="97">
        <f t="shared" si="13"/>
        <v>57632086.896399915</v>
      </c>
      <c r="AQ46" s="260">
        <v>27624</v>
      </c>
      <c r="AS46" s="263">
        <f t="shared" si="20"/>
        <v>0</v>
      </c>
      <c r="AT46" s="260">
        <v>58646</v>
      </c>
      <c r="AU46" s="260">
        <v>38260</v>
      </c>
      <c r="AY46">
        <v>0</v>
      </c>
    </row>
    <row r="47" spans="1:51">
      <c r="A47" s="63">
        <v>35611</v>
      </c>
      <c r="D47" s="59">
        <v>-18442</v>
      </c>
      <c r="E47">
        <v>17307</v>
      </c>
      <c r="I47" s="103">
        <v>53769</v>
      </c>
      <c r="J47" s="59">
        <f t="shared" si="6"/>
        <v>456211</v>
      </c>
      <c r="K47" s="59"/>
      <c r="M47" s="59"/>
      <c r="N47" s="59"/>
      <c r="O47" s="59">
        <f xml:space="preserve"> -11024+39165</f>
        <v>28141</v>
      </c>
      <c r="P47" s="59"/>
      <c r="Q47" s="59"/>
      <c r="R47" s="59">
        <f t="shared" si="7"/>
        <v>468485</v>
      </c>
      <c r="S47" s="59"/>
      <c r="T47" s="59">
        <f t="shared" ref="T47:T54" si="25">D47+I47+O47+E47</f>
        <v>80775</v>
      </c>
      <c r="U47" s="59">
        <f t="shared" ref="U47:U52" si="26">AF47-AE62</f>
        <v>7262</v>
      </c>
      <c r="V47" s="59">
        <f t="shared" si="5"/>
        <v>105757.65</v>
      </c>
      <c r="X47" s="59">
        <f t="shared" si="22"/>
        <v>926685</v>
      </c>
      <c r="Y47" s="152"/>
      <c r="Z47" s="103">
        <f t="shared" si="3"/>
        <v>73513</v>
      </c>
      <c r="AA47" s="59">
        <f t="shared" si="10"/>
        <v>77223.75</v>
      </c>
      <c r="AB47" s="59">
        <f t="shared" si="9"/>
        <v>7812</v>
      </c>
      <c r="AC47" s="654">
        <f t="shared" si="11"/>
        <v>8.4300490457922591E-3</v>
      </c>
      <c r="AE47">
        <v>-64</v>
      </c>
      <c r="AF47" s="103">
        <v>7262</v>
      </c>
      <c r="AG47" s="103">
        <f t="shared" si="23"/>
        <v>23789</v>
      </c>
      <c r="AH47" s="103">
        <f t="shared" si="14"/>
        <v>-194451.88999999993</v>
      </c>
      <c r="AJ47" s="293">
        <f t="shared" si="4"/>
        <v>-19095.129999999994</v>
      </c>
      <c r="AK47" s="59">
        <f t="shared" si="18"/>
        <v>26357.129999999994</v>
      </c>
      <c r="AL47" s="97">
        <f t="shared" si="13"/>
        <v>694698301.83689964</v>
      </c>
      <c r="AQ47" s="260">
        <v>-18442</v>
      </c>
      <c r="AS47" s="263">
        <v>53769</v>
      </c>
      <c r="AT47" s="260">
        <v>28141</v>
      </c>
      <c r="AU47" s="260">
        <v>17307</v>
      </c>
      <c r="AY47">
        <v>0</v>
      </c>
    </row>
    <row r="48" spans="1:51">
      <c r="A48" s="63">
        <v>35642</v>
      </c>
      <c r="B48" s="103">
        <v>449593</v>
      </c>
      <c r="C48" s="183">
        <f t="shared" ref="C48:C55" si="27">B48/X48*365</f>
        <v>164.3733184687473</v>
      </c>
      <c r="D48" s="59">
        <v>-19182</v>
      </c>
      <c r="E48">
        <v>15830</v>
      </c>
      <c r="I48" s="103">
        <v>53484</v>
      </c>
      <c r="J48" s="59">
        <f t="shared" si="6"/>
        <v>507258</v>
      </c>
      <c r="K48" s="59"/>
      <c r="M48" s="59"/>
      <c r="N48" s="59"/>
      <c r="O48" s="59">
        <f>37576+7121</f>
        <v>44697</v>
      </c>
      <c r="P48" s="59"/>
      <c r="Q48" s="59"/>
      <c r="R48" s="59">
        <f t="shared" si="7"/>
        <v>492451</v>
      </c>
      <c r="S48" s="59"/>
      <c r="T48" s="59">
        <f t="shared" si="25"/>
        <v>94829</v>
      </c>
      <c r="U48" s="59">
        <f t="shared" si="26"/>
        <v>29783</v>
      </c>
      <c r="V48" s="59">
        <f t="shared" si="5"/>
        <v>89910.1</v>
      </c>
      <c r="X48" s="59">
        <f t="shared" si="22"/>
        <v>998346</v>
      </c>
      <c r="Y48" s="152"/>
      <c r="Z48" s="103">
        <f t="shared" si="3"/>
        <v>65046</v>
      </c>
      <c r="AA48" s="59">
        <f t="shared" si="10"/>
        <v>83195.5</v>
      </c>
      <c r="AB48" s="59">
        <f t="shared" si="9"/>
        <v>83525</v>
      </c>
      <c r="AC48" s="654">
        <f t="shared" si="11"/>
        <v>8.3663379229245174E-2</v>
      </c>
      <c r="AE48">
        <v>824</v>
      </c>
      <c r="AF48" s="103">
        <v>29783</v>
      </c>
      <c r="AG48" s="103">
        <f t="shared" si="23"/>
        <v>92726</v>
      </c>
      <c r="AH48" s="103">
        <f t="shared" si="14"/>
        <v>-148681.88999999996</v>
      </c>
      <c r="AJ48" s="293">
        <f t="shared" si="4"/>
        <v>-3829.1500000000015</v>
      </c>
      <c r="AK48" s="59">
        <f t="shared" si="18"/>
        <v>33612.15</v>
      </c>
      <c r="AL48" s="97">
        <f t="shared" si="13"/>
        <v>1129776627.6225002</v>
      </c>
      <c r="AQ48" s="260">
        <v>-19182</v>
      </c>
      <c r="AS48" s="263">
        <v>53484</v>
      </c>
      <c r="AT48" s="260">
        <v>44697</v>
      </c>
      <c r="AU48" s="260">
        <v>15830</v>
      </c>
      <c r="AY48">
        <v>0</v>
      </c>
    </row>
    <row r="49" spans="1:51">
      <c r="A49" s="63">
        <v>35673</v>
      </c>
      <c r="B49" s="103">
        <v>395265.39</v>
      </c>
      <c r="C49" s="183">
        <f t="shared" si="27"/>
        <v>142.87115851194886</v>
      </c>
      <c r="D49" s="59">
        <v>-10000</v>
      </c>
      <c r="E49">
        <v>0</v>
      </c>
      <c r="I49" s="103">
        <v>57507</v>
      </c>
      <c r="J49" s="59">
        <f t="shared" si="6"/>
        <v>507085</v>
      </c>
      <c r="K49" s="59"/>
      <c r="M49" s="59"/>
      <c r="N49" s="59"/>
      <c r="O49" s="59">
        <v>41705</v>
      </c>
      <c r="P49" s="59"/>
      <c r="Q49" s="59"/>
      <c r="R49" s="59">
        <f t="shared" si="7"/>
        <v>514082</v>
      </c>
      <c r="S49" s="654">
        <f t="shared" ref="S49:S83" si="28">(R49/R37)</f>
        <v>1.0885502357796397</v>
      </c>
      <c r="T49" s="59">
        <f t="shared" si="25"/>
        <v>89212</v>
      </c>
      <c r="U49" s="59">
        <f t="shared" si="26"/>
        <v>43158</v>
      </c>
      <c r="V49" s="59">
        <f t="shared" si="5"/>
        <v>91177.950000000012</v>
      </c>
      <c r="X49" s="59">
        <f t="shared" si="22"/>
        <v>1009804</v>
      </c>
      <c r="Y49" s="152" t="s">
        <v>1396</v>
      </c>
      <c r="Z49" s="103">
        <f t="shared" si="3"/>
        <v>46054</v>
      </c>
      <c r="AA49" s="59">
        <f t="shared" si="10"/>
        <v>84150.333333333328</v>
      </c>
      <c r="AB49" s="59">
        <f t="shared" si="9"/>
        <v>96535</v>
      </c>
      <c r="AC49" s="654">
        <f t="shared" si="11"/>
        <v>9.5597759565222554E-2</v>
      </c>
      <c r="AE49">
        <v>-406</v>
      </c>
      <c r="AF49" s="103">
        <v>43158</v>
      </c>
      <c r="AG49" s="103">
        <f t="shared" si="23"/>
        <v>104589</v>
      </c>
      <c r="AH49" s="103">
        <f t="shared" si="14"/>
        <v>-128644.63999999998</v>
      </c>
      <c r="AJ49" s="293">
        <f t="shared" si="4"/>
        <v>-4761.1299999999974</v>
      </c>
      <c r="AK49" s="59">
        <f t="shared" si="18"/>
        <v>47919.13</v>
      </c>
      <c r="AL49" s="97">
        <f t="shared" si="13"/>
        <v>2296243019.9568996</v>
      </c>
      <c r="AQ49" s="260">
        <v>-10000</v>
      </c>
      <c r="AS49" s="263">
        <v>57507</v>
      </c>
      <c r="AT49" s="260">
        <v>41705</v>
      </c>
      <c r="AU49" s="260">
        <v>0</v>
      </c>
      <c r="AY49">
        <v>0</v>
      </c>
    </row>
    <row r="50" spans="1:51">
      <c r="A50" s="63">
        <v>35703</v>
      </c>
      <c r="B50" s="103">
        <v>386291.97</v>
      </c>
      <c r="C50" s="183">
        <f t="shared" si="27"/>
        <v>131.29920375804227</v>
      </c>
      <c r="D50" s="59">
        <v>0</v>
      </c>
      <c r="E50">
        <v>0</v>
      </c>
      <c r="I50" s="103">
        <v>23471</v>
      </c>
      <c r="J50" s="59">
        <f t="shared" si="6"/>
        <v>522887</v>
      </c>
      <c r="K50" s="59"/>
      <c r="M50" s="59"/>
      <c r="N50" s="59"/>
      <c r="O50" s="59">
        <f>36868+995</f>
        <v>37863</v>
      </c>
      <c r="P50" s="59"/>
      <c r="Q50" s="59"/>
      <c r="R50" s="59">
        <f t="shared" si="7"/>
        <v>517833</v>
      </c>
      <c r="S50" s="654">
        <f t="shared" si="28"/>
        <v>1.102102971316927</v>
      </c>
      <c r="T50" s="59">
        <f t="shared" si="25"/>
        <v>61334</v>
      </c>
      <c r="U50" s="59">
        <f t="shared" si="26"/>
        <v>-23080</v>
      </c>
      <c r="V50" s="59">
        <f t="shared" si="5"/>
        <v>71091.299999999988</v>
      </c>
      <c r="X50" s="59">
        <f t="shared" si="22"/>
        <v>1073857</v>
      </c>
      <c r="Z50" s="103">
        <f t="shared" si="3"/>
        <v>84414</v>
      </c>
      <c r="AA50" s="59">
        <f t="shared" si="10"/>
        <v>89488.083333333328</v>
      </c>
      <c r="AB50" s="59">
        <f t="shared" si="9"/>
        <v>125548</v>
      </c>
      <c r="AC50" s="654">
        <f t="shared" si="11"/>
        <v>0.11691314579129251</v>
      </c>
      <c r="AF50" s="103">
        <v>-23080</v>
      </c>
      <c r="AG50" s="103">
        <f t="shared" si="23"/>
        <v>127585</v>
      </c>
      <c r="AH50" s="103">
        <f t="shared" si="14"/>
        <v>-117887.28999999998</v>
      </c>
      <c r="AJ50" s="293">
        <f t="shared" si="4"/>
        <v>-23990.749999999993</v>
      </c>
      <c r="AK50" s="59">
        <f t="shared" si="18"/>
        <v>910.74999999999272</v>
      </c>
      <c r="AL50" s="97">
        <f t="shared" si="13"/>
        <v>829465.56249998673</v>
      </c>
      <c r="AQ50" s="260">
        <v>0</v>
      </c>
      <c r="AS50" s="263">
        <v>23471</v>
      </c>
      <c r="AT50" s="260">
        <v>37863</v>
      </c>
      <c r="AU50" s="260">
        <v>0</v>
      </c>
      <c r="AY50">
        <v>0</v>
      </c>
    </row>
    <row r="51" spans="1:51">
      <c r="A51" s="63">
        <v>35734</v>
      </c>
      <c r="B51" s="103">
        <v>374726.97</v>
      </c>
      <c r="C51" s="183">
        <f t="shared" si="27"/>
        <v>122.27477811351791</v>
      </c>
      <c r="D51" s="59">
        <f>9241</f>
        <v>9241</v>
      </c>
      <c r="I51" s="103">
        <v>6778</v>
      </c>
      <c r="J51" s="59">
        <f t="shared" si="6"/>
        <v>530570</v>
      </c>
      <c r="K51" s="59"/>
      <c r="M51" s="59"/>
      <c r="N51" s="59"/>
      <c r="O51" s="59">
        <f>58818+3935+4345</f>
        <v>67098</v>
      </c>
      <c r="P51" s="59"/>
      <c r="Q51" s="59"/>
      <c r="R51" s="59">
        <f t="shared" si="7"/>
        <v>545642</v>
      </c>
      <c r="S51" s="654">
        <f t="shared" si="28"/>
        <v>1.1720247876190784</v>
      </c>
      <c r="T51" s="59">
        <f t="shared" si="25"/>
        <v>83117</v>
      </c>
      <c r="U51" s="59">
        <f t="shared" si="26"/>
        <v>-13241</v>
      </c>
      <c r="V51" s="59">
        <f t="shared" si="5"/>
        <v>75492.95</v>
      </c>
      <c r="X51" s="59">
        <f t="shared" si="22"/>
        <v>1118590</v>
      </c>
      <c r="Z51" s="103">
        <f t="shared" si="3"/>
        <v>96358</v>
      </c>
      <c r="AA51" s="59">
        <f t="shared" si="10"/>
        <v>93215.833333333328</v>
      </c>
      <c r="AB51" s="59">
        <f t="shared" si="9"/>
        <v>162034</v>
      </c>
      <c r="AC51" s="654">
        <f t="shared" si="11"/>
        <v>0.14485557711046942</v>
      </c>
      <c r="AE51">
        <v>-99</v>
      </c>
      <c r="AF51" s="103">
        <v>-13241</v>
      </c>
      <c r="AG51" s="103">
        <f t="shared" si="23"/>
        <v>166097</v>
      </c>
      <c r="AH51" s="103">
        <f t="shared" si="14"/>
        <v>-88490.739999999932</v>
      </c>
      <c r="AJ51" s="293">
        <f t="shared" si="4"/>
        <v>-4480.9799999999886</v>
      </c>
      <c r="AK51" s="59">
        <f t="shared" si="18"/>
        <v>-8760.0200000000114</v>
      </c>
      <c r="AL51" s="97">
        <f t="shared" si="13"/>
        <v>76737950.400400192</v>
      </c>
      <c r="AQ51" s="260">
        <v>9241</v>
      </c>
      <c r="AS51" s="263">
        <v>6778</v>
      </c>
      <c r="AT51" s="260">
        <v>67098</v>
      </c>
      <c r="AY51">
        <v>0</v>
      </c>
    </row>
    <row r="52" spans="1:51" s="64" customFormat="1">
      <c r="A52" s="207">
        <v>35764</v>
      </c>
      <c r="B52" s="208">
        <v>354786.23</v>
      </c>
      <c r="C52" s="636">
        <f t="shared" si="27"/>
        <v>117.7706664611316</v>
      </c>
      <c r="D52" s="64">
        <v>-9241</v>
      </c>
      <c r="E52" s="64">
        <v>25173</v>
      </c>
      <c r="I52" s="208">
        <v>22494</v>
      </c>
      <c r="J52" s="101">
        <f t="shared" si="6"/>
        <v>482281</v>
      </c>
      <c r="K52" s="101"/>
      <c r="M52" s="59"/>
      <c r="N52" s="59"/>
      <c r="O52" s="59">
        <f>67652+5826</f>
        <v>73478</v>
      </c>
      <c r="P52" s="59"/>
      <c r="Q52" s="59"/>
      <c r="R52" s="101">
        <f t="shared" si="7"/>
        <v>558978</v>
      </c>
      <c r="S52" s="654">
        <f t="shared" si="28"/>
        <v>1.1333997043717698</v>
      </c>
      <c r="T52" s="59">
        <f t="shared" si="25"/>
        <v>111904</v>
      </c>
      <c r="U52" s="101">
        <f t="shared" si="26"/>
        <v>26636</v>
      </c>
      <c r="V52" s="59">
        <f t="shared" si="5"/>
        <v>101828.55</v>
      </c>
      <c r="W52" s="59"/>
      <c r="X52" s="101">
        <f t="shared" si="22"/>
        <v>1099569</v>
      </c>
      <c r="Y52" s="133">
        <f>T52+T51+T50</f>
        <v>256355</v>
      </c>
      <c r="Z52" s="103">
        <f t="shared" si="3"/>
        <v>85268</v>
      </c>
      <c r="AA52" s="59">
        <f t="shared" si="10"/>
        <v>91630.75</v>
      </c>
      <c r="AB52" s="101">
        <f t="shared" si="9"/>
        <v>120553</v>
      </c>
      <c r="AC52" s="744">
        <f t="shared" si="11"/>
        <v>0.10963659397454821</v>
      </c>
      <c r="AE52" s="64">
        <v>112</v>
      </c>
      <c r="AF52" s="208">
        <v>26636</v>
      </c>
      <c r="AG52" s="208">
        <f t="shared" si="23"/>
        <v>136116</v>
      </c>
      <c r="AH52" s="208">
        <f t="shared" si="14"/>
        <v>-98301.199999999953</v>
      </c>
      <c r="AJ52" s="293">
        <f t="shared" si="4"/>
        <v>8681.7800000000061</v>
      </c>
      <c r="AK52" s="59">
        <f t="shared" si="18"/>
        <v>17954.219999999994</v>
      </c>
      <c r="AL52" s="97">
        <f t="shared" si="13"/>
        <v>322354015.8083998</v>
      </c>
      <c r="AP52" s="208">
        <v>271056.08</v>
      </c>
      <c r="AQ52" s="261">
        <v>-9241</v>
      </c>
      <c r="AR52" s="261"/>
      <c r="AS52" s="261">
        <v>22494</v>
      </c>
      <c r="AT52" s="261">
        <v>73478</v>
      </c>
      <c r="AU52" s="261">
        <v>25173</v>
      </c>
      <c r="AY52">
        <v>0</v>
      </c>
    </row>
    <row r="53" spans="1:51">
      <c r="A53" s="63">
        <v>35795</v>
      </c>
      <c r="B53" s="103">
        <v>280703</v>
      </c>
      <c r="C53" s="183">
        <f t="shared" si="27"/>
        <v>92.165737422368068</v>
      </c>
      <c r="D53" s="59">
        <v>24298</v>
      </c>
      <c r="E53" s="606">
        <v>7290</v>
      </c>
      <c r="F53" s="606"/>
      <c r="G53" s="606"/>
      <c r="H53" s="606"/>
      <c r="I53" s="103">
        <v>23445</v>
      </c>
      <c r="J53">
        <f t="shared" si="6"/>
        <v>468351</v>
      </c>
      <c r="M53" s="59"/>
      <c r="N53" s="59"/>
      <c r="O53" s="59">
        <f>19557+2926</f>
        <v>22483</v>
      </c>
      <c r="P53" s="59"/>
      <c r="Q53" s="59"/>
      <c r="R53">
        <f t="shared" si="7"/>
        <v>562371</v>
      </c>
      <c r="S53" s="654">
        <f t="shared" si="28"/>
        <v>1.1613644671057115</v>
      </c>
      <c r="T53" s="59">
        <f t="shared" si="25"/>
        <v>77516</v>
      </c>
      <c r="U53" s="481">
        <v>-18345</v>
      </c>
      <c r="V53" s="59">
        <f t="shared" si="5"/>
        <v>89551.799999999988</v>
      </c>
      <c r="X53" s="608">
        <f t="shared" si="22"/>
        <v>1111656</v>
      </c>
      <c r="Z53" s="103">
        <f t="shared" si="3"/>
        <v>95861</v>
      </c>
      <c r="AA53" s="59">
        <f t="shared" si="10"/>
        <v>92638</v>
      </c>
      <c r="AB53" s="59">
        <f t="shared" si="9"/>
        <v>105052</v>
      </c>
      <c r="AC53" s="654">
        <f t="shared" si="11"/>
        <v>9.4500456975899025E-2</v>
      </c>
      <c r="AE53" s="606">
        <v>6</v>
      </c>
      <c r="AF53" s="607">
        <v>-18345</v>
      </c>
      <c r="AG53" s="103">
        <f t="shared" si="23"/>
        <v>120615</v>
      </c>
      <c r="AH53">
        <f t="shared" si="14"/>
        <v>-101553.50999999992</v>
      </c>
      <c r="AJ53" s="293">
        <f t="shared" si="4"/>
        <v>-38306.11</v>
      </c>
      <c r="AK53" s="59">
        <f t="shared" si="18"/>
        <v>19961.11</v>
      </c>
      <c r="AL53" s="97">
        <f t="shared" si="13"/>
        <v>398445912.4321</v>
      </c>
      <c r="AP53" s="103">
        <v>299365.3</v>
      </c>
      <c r="AQ53" s="260">
        <v>24298</v>
      </c>
      <c r="AS53" s="263">
        <v>23445</v>
      </c>
      <c r="AT53" s="260">
        <v>22483</v>
      </c>
      <c r="AU53" s="260">
        <v>7290</v>
      </c>
      <c r="AY53">
        <v>0</v>
      </c>
    </row>
    <row r="54" spans="1:51">
      <c r="A54" s="63">
        <v>35826</v>
      </c>
      <c r="C54" s="183">
        <f t="shared" si="27"/>
        <v>0</v>
      </c>
      <c r="D54" s="59">
        <v>-356</v>
      </c>
      <c r="E54" s="606">
        <v>0</v>
      </c>
      <c r="F54" s="606"/>
      <c r="G54" s="606"/>
      <c r="H54" s="606"/>
      <c r="I54" s="103">
        <v>73566</v>
      </c>
      <c r="J54" s="59">
        <f t="shared" si="6"/>
        <v>483952</v>
      </c>
      <c r="K54" s="59"/>
      <c r="M54" s="59"/>
      <c r="N54" s="59"/>
      <c r="O54" s="59">
        <f>29620+5028</f>
        <v>34648</v>
      </c>
      <c r="P54" s="59"/>
      <c r="Q54" s="59"/>
      <c r="R54" s="59">
        <f t="shared" si="7"/>
        <v>553362</v>
      </c>
      <c r="S54" s="654">
        <f t="shared" si="28"/>
        <v>1.1291604174956382</v>
      </c>
      <c r="T54" s="59">
        <f t="shared" si="25"/>
        <v>107858</v>
      </c>
      <c r="U54">
        <v>22023</v>
      </c>
      <c r="V54" s="59">
        <f t="shared" si="5"/>
        <v>97238.299999999988</v>
      </c>
      <c r="X54" s="59">
        <f t="shared" si="22"/>
        <v>1081695</v>
      </c>
      <c r="Z54" s="103">
        <f t="shared" si="3"/>
        <v>85835</v>
      </c>
      <c r="AA54" s="59">
        <f t="shared" si="10"/>
        <v>90141.25</v>
      </c>
      <c r="AB54" s="59">
        <f t="shared" si="9"/>
        <v>124396</v>
      </c>
      <c r="AC54" s="654">
        <f t="shared" si="11"/>
        <v>0.11500099381063979</v>
      </c>
      <c r="AE54" s="606">
        <v>4</v>
      </c>
      <c r="AF54" s="607">
        <v>22023</v>
      </c>
      <c r="AG54" s="103">
        <f t="shared" si="23"/>
        <v>140003</v>
      </c>
      <c r="AH54" s="103">
        <f t="shared" si="14"/>
        <v>-102755.41999999995</v>
      </c>
      <c r="AJ54" s="293">
        <f t="shared" si="4"/>
        <v>-3936.9999999999964</v>
      </c>
      <c r="AK54" s="59">
        <f t="shared" si="18"/>
        <v>25959.999999999996</v>
      </c>
      <c r="AL54" s="97">
        <f t="shared" si="13"/>
        <v>673921599.99999976</v>
      </c>
      <c r="AQ54" s="260">
        <v>-356</v>
      </c>
      <c r="AS54" s="263">
        <v>73566</v>
      </c>
      <c r="AT54" s="260">
        <v>34648</v>
      </c>
      <c r="AU54" s="260">
        <v>0</v>
      </c>
      <c r="AY54">
        <v>0</v>
      </c>
    </row>
    <row r="55" spans="1:51">
      <c r="A55" s="63">
        <v>35854</v>
      </c>
      <c r="B55" s="103">
        <v>270366.34000000003</v>
      </c>
      <c r="C55" s="183">
        <f t="shared" si="27"/>
        <v>88.238168009234798</v>
      </c>
      <c r="D55" s="606">
        <v>22676</v>
      </c>
      <c r="E55" s="606"/>
      <c r="F55" s="606"/>
      <c r="G55" s="606"/>
      <c r="H55" s="606"/>
      <c r="I55" s="103">
        <v>28050</v>
      </c>
      <c r="J55" s="59">
        <f t="shared" si="6"/>
        <v>489929</v>
      </c>
      <c r="K55" s="59"/>
      <c r="M55" s="59"/>
      <c r="N55" s="59"/>
      <c r="O55" s="59">
        <f>4245+12161+2944</f>
        <v>19350</v>
      </c>
      <c r="P55" s="59"/>
      <c r="Q55" s="59"/>
      <c r="R55" s="59">
        <f t="shared" si="7"/>
        <v>516232</v>
      </c>
      <c r="S55" s="654">
        <f t="shared" si="28"/>
        <v>1.0413046767052274</v>
      </c>
      <c r="T55" s="59">
        <f>D55+I55+O55</f>
        <v>70076</v>
      </c>
      <c r="U55">
        <v>-13935</v>
      </c>
      <c r="V55" s="59">
        <f t="shared" si="5"/>
        <v>83299.7</v>
      </c>
      <c r="X55" s="59">
        <f t="shared" si="22"/>
        <v>1118379</v>
      </c>
      <c r="Y55" s="152">
        <f>T55+T54+T53</f>
        <v>255450</v>
      </c>
      <c r="Z55" s="103">
        <f t="shared" si="3"/>
        <v>84011</v>
      </c>
      <c r="AA55" s="59">
        <f t="shared" si="10"/>
        <v>93198.25</v>
      </c>
      <c r="AB55" s="59">
        <f t="shared" si="9"/>
        <v>81100</v>
      </c>
      <c r="AC55" s="654">
        <f t="shared" si="11"/>
        <v>7.2515667765578579E-2</v>
      </c>
      <c r="AE55" s="606">
        <v>-44</v>
      </c>
      <c r="AF55" s="103">
        <v>-13935</v>
      </c>
      <c r="AG55" s="103">
        <f t="shared" si="23"/>
        <v>96751</v>
      </c>
      <c r="AH55" s="103">
        <f t="shared" si="14"/>
        <v>-134536.89999999997</v>
      </c>
      <c r="AJ55" s="293">
        <f t="shared" si="4"/>
        <v>-39101.5</v>
      </c>
      <c r="AK55" s="59">
        <f t="shared" si="18"/>
        <v>25166.5</v>
      </c>
      <c r="AL55" s="97">
        <f t="shared" si="13"/>
        <v>633352722.25</v>
      </c>
      <c r="AQ55" s="260">
        <v>22676</v>
      </c>
      <c r="AS55" s="263">
        <v>28050</v>
      </c>
      <c r="AT55" s="260">
        <v>19350</v>
      </c>
      <c r="AY55">
        <v>0</v>
      </c>
    </row>
    <row r="56" spans="1:51">
      <c r="A56" s="63">
        <v>35885</v>
      </c>
      <c r="D56" s="59">
        <v>-46617</v>
      </c>
      <c r="I56" s="103">
        <v>47911</v>
      </c>
      <c r="J56" s="59">
        <f t="shared" si="6"/>
        <v>482668</v>
      </c>
      <c r="K56" s="59"/>
      <c r="M56" s="59"/>
      <c r="N56" s="59"/>
      <c r="O56" s="59">
        <f>49572+5050+886</f>
        <v>55508</v>
      </c>
      <c r="P56" s="59"/>
      <c r="Q56" s="59"/>
      <c r="R56" s="59">
        <f t="shared" si="7"/>
        <v>522554</v>
      </c>
      <c r="S56" s="654">
        <f t="shared" si="28"/>
        <v>1.0839682621998652</v>
      </c>
      <c r="T56" s="59">
        <f>D56+I56+O56</f>
        <v>56802</v>
      </c>
      <c r="U56">
        <v>-15141</v>
      </c>
      <c r="V56" s="59">
        <f t="shared" si="5"/>
        <v>61447.9</v>
      </c>
      <c r="X56" s="59">
        <f t="shared" si="22"/>
        <v>1039164</v>
      </c>
      <c r="Y56" s="152">
        <f>T56+T55+T54</f>
        <v>234736</v>
      </c>
      <c r="Z56" s="103">
        <f t="shared" si="3"/>
        <v>71943</v>
      </c>
      <c r="AA56" s="59">
        <f t="shared" si="10"/>
        <v>86597</v>
      </c>
      <c r="AB56" s="59">
        <f>SUM(U45:U56)</f>
        <v>54578</v>
      </c>
      <c r="AC56" s="654">
        <f t="shared" si="11"/>
        <v>5.2521065009950303E-2</v>
      </c>
      <c r="AE56" s="606">
        <v>-44</v>
      </c>
      <c r="AF56" s="103">
        <v>-15141</v>
      </c>
      <c r="AG56" s="103">
        <f t="shared" si="23"/>
        <v>70229</v>
      </c>
      <c r="AH56" s="103">
        <f t="shared" si="14"/>
        <v>-131997.49999999997</v>
      </c>
      <c r="AJ56" s="293">
        <f t="shared" si="4"/>
        <v>3661.5</v>
      </c>
      <c r="AK56" s="59">
        <f t="shared" si="18"/>
        <v>-18802.5</v>
      </c>
      <c r="AL56" s="97">
        <f t="shared" si="13"/>
        <v>353534006.25</v>
      </c>
      <c r="AQ56" s="260">
        <v>-46617</v>
      </c>
      <c r="AS56" s="263">
        <v>47911</v>
      </c>
      <c r="AT56" s="260">
        <v>55508</v>
      </c>
      <c r="AY56">
        <v>0</v>
      </c>
    </row>
    <row r="57" spans="1:51">
      <c r="A57" s="63">
        <v>35915</v>
      </c>
      <c r="D57" s="59">
        <v>12899</v>
      </c>
      <c r="I57" s="103">
        <v>31589</v>
      </c>
      <c r="J57" s="59">
        <f t="shared" si="6"/>
        <v>487948</v>
      </c>
      <c r="K57" s="59"/>
      <c r="M57" s="59"/>
      <c r="N57" s="59"/>
      <c r="O57" s="59">
        <f>55929+3088</f>
        <v>59017</v>
      </c>
      <c r="P57" s="59"/>
      <c r="Q57" s="59"/>
      <c r="R57" s="59">
        <f t="shared" si="7"/>
        <v>542634</v>
      </c>
      <c r="S57" s="654">
        <f t="shared" si="28"/>
        <v>1.116643447590395</v>
      </c>
      <c r="T57" s="59">
        <f>D57+I57+O57</f>
        <v>103505</v>
      </c>
      <c r="U57">
        <v>40492</v>
      </c>
      <c r="V57" s="59">
        <f t="shared" si="5"/>
        <v>87158.95</v>
      </c>
      <c r="X57" s="59">
        <f t="shared" si="22"/>
        <v>1089082</v>
      </c>
      <c r="Y57" s="152">
        <f>T57+T56+T55</f>
        <v>230383</v>
      </c>
      <c r="Z57" s="103">
        <f t="shared" si="3"/>
        <v>63013</v>
      </c>
      <c r="AA57" s="59">
        <f t="shared" si="10"/>
        <v>90756.833333333328</v>
      </c>
      <c r="AB57" s="59">
        <f>SUM(U46:U57)</f>
        <v>92400</v>
      </c>
      <c r="AC57" s="654">
        <f t="shared" si="11"/>
        <v>8.4842096371072151E-2</v>
      </c>
      <c r="AE57" s="606">
        <v>-44</v>
      </c>
      <c r="AF57" s="103">
        <v>40492</v>
      </c>
      <c r="AG57" s="103">
        <f t="shared" si="23"/>
        <v>108051</v>
      </c>
      <c r="AH57" s="103">
        <f t="shared" si="14"/>
        <v>-110894.29999999996</v>
      </c>
      <c r="AJ57" s="293">
        <f t="shared" si="4"/>
        <v>-583.24999999999272</v>
      </c>
      <c r="AK57" s="59">
        <f t="shared" si="18"/>
        <v>41075.249999999993</v>
      </c>
      <c r="AL57" s="97">
        <f t="shared" si="13"/>
        <v>1687176162.5624993</v>
      </c>
      <c r="AQ57" s="260">
        <v>12899</v>
      </c>
      <c r="AS57" s="263">
        <v>31589</v>
      </c>
      <c r="AT57" s="260">
        <v>59017</v>
      </c>
      <c r="AY57">
        <v>0</v>
      </c>
    </row>
    <row r="58" spans="1:51">
      <c r="A58" s="63">
        <v>35946</v>
      </c>
      <c r="B58" s="103">
        <v>270522.34000000003</v>
      </c>
      <c r="D58" s="59">
        <v>7260</v>
      </c>
      <c r="F58" s="64" t="s">
        <v>204</v>
      </c>
      <c r="G58" s="209"/>
      <c r="H58" s="209"/>
      <c r="I58" s="103">
        <v>18143</v>
      </c>
      <c r="J58" s="59">
        <f t="shared" si="6"/>
        <v>440207</v>
      </c>
      <c r="K58" s="59"/>
      <c r="M58" s="59"/>
      <c r="N58" s="59"/>
      <c r="O58" s="59">
        <f>27811+6442</f>
        <v>34253</v>
      </c>
      <c r="P58" s="59"/>
      <c r="Q58" s="59"/>
      <c r="R58" s="59">
        <f t="shared" si="7"/>
        <v>518241</v>
      </c>
      <c r="S58" s="654">
        <f t="shared" si="28"/>
        <v>1.0643728255199241</v>
      </c>
      <c r="T58" s="59">
        <f>D58+I58+O58</f>
        <v>59656</v>
      </c>
      <c r="U58" s="59">
        <v>-30603</v>
      </c>
      <c r="V58" s="59">
        <f t="shared" si="5"/>
        <v>75003.149999999994</v>
      </c>
      <c r="X58" s="59">
        <f t="shared" si="22"/>
        <v>996584</v>
      </c>
      <c r="Y58" s="152">
        <f>T58+T57+T56</f>
        <v>219963</v>
      </c>
      <c r="Z58" s="103">
        <f t="shared" si="3"/>
        <v>90259</v>
      </c>
      <c r="AA58" s="59">
        <f t="shared" si="10"/>
        <v>83048.666666666672</v>
      </c>
      <c r="AB58" s="59">
        <f>SUM(U47:U58)</f>
        <v>55009</v>
      </c>
      <c r="AC58" s="654">
        <f t="shared" si="11"/>
        <v>5.5197554847358575E-2</v>
      </c>
      <c r="AE58" s="606">
        <v>-44</v>
      </c>
      <c r="AF58" s="59">
        <v>-30603</v>
      </c>
      <c r="AG58" s="103">
        <f t="shared" si="23"/>
        <v>55009</v>
      </c>
      <c r="AH58" s="103">
        <f t="shared" si="14"/>
        <v>-155540.64999999997</v>
      </c>
      <c r="AJ58" s="293">
        <f t="shared" si="4"/>
        <v>-29798.93</v>
      </c>
      <c r="AK58" s="59">
        <f t="shared" si="18"/>
        <v>-804.06999999999971</v>
      </c>
      <c r="AL58" s="97">
        <f t="shared" si="13"/>
        <v>646528.56489999953</v>
      </c>
      <c r="AQ58" s="260">
        <v>7260</v>
      </c>
      <c r="AR58" s="260" t="s">
        <v>204</v>
      </c>
      <c r="AS58" s="263">
        <v>18143</v>
      </c>
      <c r="AT58" s="260">
        <v>34253</v>
      </c>
      <c r="AY58">
        <v>0</v>
      </c>
    </row>
    <row r="59" spans="1:51">
      <c r="A59" s="63">
        <v>35976</v>
      </c>
      <c r="D59" s="59">
        <v>-4403</v>
      </c>
      <c r="F59" s="59">
        <v>22472</v>
      </c>
      <c r="G59" s="59"/>
      <c r="H59" s="59"/>
      <c r="I59" s="59">
        <v>5595</v>
      </c>
      <c r="J59" s="59">
        <f t="shared" si="6"/>
        <v>392033</v>
      </c>
      <c r="K59" s="59"/>
      <c r="M59" s="59"/>
      <c r="N59" s="59"/>
      <c r="O59" s="59">
        <f>47311+857</f>
        <v>48168</v>
      </c>
      <c r="P59" s="59"/>
      <c r="Q59" s="59"/>
      <c r="R59" s="59">
        <f t="shared" si="7"/>
        <v>538268</v>
      </c>
      <c r="S59" s="654">
        <f t="shared" si="28"/>
        <v>1.1489546090056244</v>
      </c>
      <c r="T59" s="59">
        <f t="shared" ref="T59:T94" si="29">D59+E59+F59+I59+O59</f>
        <v>71832</v>
      </c>
      <c r="U59" s="59">
        <v>-17620</v>
      </c>
      <c r="V59" s="59">
        <f t="shared" si="5"/>
        <v>67570.399999999994</v>
      </c>
      <c r="X59" s="59">
        <f t="shared" si="22"/>
        <v>987641</v>
      </c>
      <c r="Z59" s="103">
        <f t="shared" si="3"/>
        <v>89452</v>
      </c>
      <c r="AA59" s="59">
        <f t="shared" si="10"/>
        <v>82303.416666666672</v>
      </c>
      <c r="AB59" s="59">
        <f t="shared" ref="AB59:AB85" si="30">SUM(U48:U59)</f>
        <v>30127</v>
      </c>
      <c r="AC59" s="654">
        <f t="shared" si="11"/>
        <v>3.0503998922685471E-2</v>
      </c>
      <c r="AF59" s="59">
        <v>-17620</v>
      </c>
      <c r="AG59" s="103">
        <f t="shared" si="23"/>
        <v>30127</v>
      </c>
      <c r="AH59" s="103">
        <f t="shared" si="14"/>
        <v>-159075.57999999996</v>
      </c>
      <c r="AJ59" s="293">
        <f t="shared" si="4"/>
        <v>-22630.059999999998</v>
      </c>
      <c r="AK59" s="59">
        <f t="shared" si="18"/>
        <v>5010.0599999999977</v>
      </c>
      <c r="AL59" s="97">
        <f t="shared" si="13"/>
        <v>25100701.203599978</v>
      </c>
      <c r="AQ59" s="260">
        <v>-4403</v>
      </c>
      <c r="AR59" s="260">
        <v>22472</v>
      </c>
      <c r="AS59" s="687">
        <v>5595</v>
      </c>
      <c r="AT59" s="260">
        <v>48168</v>
      </c>
      <c r="AY59">
        <v>0</v>
      </c>
    </row>
    <row r="60" spans="1:51">
      <c r="A60" s="63">
        <v>36007</v>
      </c>
      <c r="D60" s="59">
        <v>-2554</v>
      </c>
      <c r="F60" s="59">
        <v>7874</v>
      </c>
      <c r="G60" s="59"/>
      <c r="H60" s="59"/>
      <c r="I60" s="59">
        <v>7717</v>
      </c>
      <c r="J60" s="59">
        <f t="shared" si="6"/>
        <v>346266</v>
      </c>
      <c r="K60" s="59"/>
      <c r="M60" s="59"/>
      <c r="N60" s="59"/>
      <c r="O60" s="59">
        <f>42692+1179</f>
        <v>43871</v>
      </c>
      <c r="P60" s="59"/>
      <c r="Q60" s="59"/>
      <c r="R60" s="59">
        <f t="shared" si="7"/>
        <v>537442</v>
      </c>
      <c r="S60" s="654">
        <f t="shared" si="28"/>
        <v>1.0913613740250299</v>
      </c>
      <c r="T60" s="59">
        <f t="shared" si="29"/>
        <v>56908</v>
      </c>
      <c r="U60" s="59">
        <v>-29236</v>
      </c>
      <c r="V60" s="59">
        <f t="shared" si="5"/>
        <v>62131.4</v>
      </c>
      <c r="X60" s="59">
        <f t="shared" si="22"/>
        <v>949720</v>
      </c>
      <c r="Z60" s="103">
        <f t="shared" si="3"/>
        <v>86144</v>
      </c>
      <c r="AA60" s="59">
        <f t="shared" si="10"/>
        <v>79143.333333333328</v>
      </c>
      <c r="AB60" s="59">
        <f t="shared" si="30"/>
        <v>-28892</v>
      </c>
      <c r="AC60" s="654">
        <f t="shared" si="11"/>
        <v>-3.0421597944657371E-2</v>
      </c>
      <c r="AF60" s="59">
        <v>-29236</v>
      </c>
      <c r="AG60" s="103">
        <f t="shared" si="23"/>
        <v>-28892</v>
      </c>
      <c r="AH60" s="103">
        <f t="shared" si="14"/>
        <v>-180896.57999999996</v>
      </c>
      <c r="AJ60" s="293">
        <f t="shared" si="4"/>
        <v>-25650.149999999994</v>
      </c>
      <c r="AK60" s="59">
        <f t="shared" si="18"/>
        <v>-3585.8500000000058</v>
      </c>
      <c r="AL60" s="97">
        <f t="shared" si="13"/>
        <v>12858320.222500041</v>
      </c>
      <c r="AQ60" s="260">
        <v>-2554</v>
      </c>
      <c r="AR60" s="260">
        <v>7874</v>
      </c>
      <c r="AS60" s="687">
        <v>7717</v>
      </c>
      <c r="AT60" s="260">
        <v>43871</v>
      </c>
      <c r="AY60">
        <v>0</v>
      </c>
    </row>
    <row r="61" spans="1:51">
      <c r="A61" s="63">
        <v>36038</v>
      </c>
      <c r="D61" s="59">
        <v>21139</v>
      </c>
      <c r="F61" s="59">
        <v>7233</v>
      </c>
      <c r="G61" s="59"/>
      <c r="H61" s="59"/>
      <c r="I61" s="59">
        <v>35215</v>
      </c>
      <c r="J61" s="59">
        <f t="shared" si="6"/>
        <v>323974</v>
      </c>
      <c r="K61" s="59"/>
      <c r="M61" s="59"/>
      <c r="N61" s="59"/>
      <c r="O61" s="59">
        <v>37058</v>
      </c>
      <c r="P61" s="59"/>
      <c r="Q61" s="59"/>
      <c r="R61" s="59">
        <f t="shared" si="7"/>
        <v>532795</v>
      </c>
      <c r="S61" s="654">
        <f t="shared" si="28"/>
        <v>1.0364008076532538</v>
      </c>
      <c r="T61" s="59">
        <f t="shared" si="29"/>
        <v>100645</v>
      </c>
      <c r="U61" s="59">
        <v>12344</v>
      </c>
      <c r="V61" s="59">
        <f t="shared" si="5"/>
        <v>85337.05</v>
      </c>
      <c r="X61" s="59">
        <f t="shared" si="22"/>
        <v>961153</v>
      </c>
      <c r="Z61" s="103">
        <f t="shared" si="3"/>
        <v>88301</v>
      </c>
      <c r="AA61" s="59">
        <f t="shared" si="10"/>
        <v>80096.083333333328</v>
      </c>
      <c r="AB61" s="59">
        <f t="shared" si="30"/>
        <v>-59706</v>
      </c>
      <c r="AC61" s="654">
        <f t="shared" si="11"/>
        <v>-6.211914232177395E-2</v>
      </c>
      <c r="AF61" s="59">
        <v>12344</v>
      </c>
      <c r="AG61" s="103">
        <f t="shared" si="23"/>
        <v>-59706</v>
      </c>
      <c r="AH61" s="103">
        <f t="shared" si="14"/>
        <v>-195472.60999999996</v>
      </c>
      <c r="AJ61" s="293">
        <f t="shared" si="4"/>
        <v>-19337.159999999996</v>
      </c>
      <c r="AK61" s="59">
        <f t="shared" si="18"/>
        <v>31681.159999999996</v>
      </c>
      <c r="AL61" s="97">
        <f t="shared" si="13"/>
        <v>1003695898.9455998</v>
      </c>
      <c r="AQ61" s="260">
        <v>21139</v>
      </c>
      <c r="AR61" s="260">
        <v>7233</v>
      </c>
      <c r="AS61" s="687">
        <v>35215</v>
      </c>
      <c r="AT61" s="260">
        <v>37058</v>
      </c>
      <c r="AY61">
        <v>0</v>
      </c>
    </row>
    <row r="62" spans="1:51">
      <c r="A62" s="63">
        <v>36068</v>
      </c>
      <c r="D62" s="59">
        <v>-22540</v>
      </c>
      <c r="F62" s="59">
        <v>38903</v>
      </c>
      <c r="G62" s="59"/>
      <c r="H62" s="59"/>
      <c r="I62" s="59">
        <v>37654</v>
      </c>
      <c r="J62" s="59">
        <f t="shared" si="6"/>
        <v>338157</v>
      </c>
      <c r="K62" s="59"/>
      <c r="M62" s="59"/>
      <c r="N62" s="59"/>
      <c r="O62" s="59">
        <v>28344</v>
      </c>
      <c r="P62" s="59"/>
      <c r="Q62" s="59"/>
      <c r="R62" s="59">
        <f t="shared" si="7"/>
        <v>523276</v>
      </c>
      <c r="S62" s="654">
        <f t="shared" si="28"/>
        <v>1.0105111107248863</v>
      </c>
      <c r="T62" s="59">
        <f t="shared" si="29"/>
        <v>82361</v>
      </c>
      <c r="U62" s="59">
        <v>-23384</v>
      </c>
      <c r="V62" s="59">
        <f t="shared" si="5"/>
        <v>88760.4</v>
      </c>
      <c r="X62" s="59">
        <f t="shared" si="22"/>
        <v>982180</v>
      </c>
      <c r="Z62" s="103">
        <f t="shared" si="3"/>
        <v>105745</v>
      </c>
      <c r="AA62" s="59">
        <f t="shared" si="10"/>
        <v>81848.333333333328</v>
      </c>
      <c r="AB62" s="59">
        <f t="shared" si="30"/>
        <v>-60010</v>
      </c>
      <c r="AC62" s="654">
        <f t="shared" si="11"/>
        <v>-6.1098780264310003E-2</v>
      </c>
      <c r="AF62" s="59">
        <v>-23384</v>
      </c>
      <c r="AG62" s="103">
        <f t="shared" si="23"/>
        <v>-60010</v>
      </c>
      <c r="AH62" s="103">
        <f t="shared" si="14"/>
        <v>-197801.09999999995</v>
      </c>
      <c r="AJ62" s="293">
        <f t="shared" si="4"/>
        <v>-26319.24</v>
      </c>
      <c r="AK62" s="59">
        <f t="shared" si="18"/>
        <v>2935.2400000000016</v>
      </c>
      <c r="AL62" s="97">
        <f t="shared" si="13"/>
        <v>8615633.8576000091</v>
      </c>
      <c r="AQ62" s="260">
        <v>-22540</v>
      </c>
      <c r="AR62" s="260">
        <v>38903</v>
      </c>
      <c r="AS62" s="687">
        <v>37654</v>
      </c>
      <c r="AT62" s="260">
        <v>28344</v>
      </c>
      <c r="AY62">
        <v>0</v>
      </c>
    </row>
    <row r="63" spans="1:51">
      <c r="A63" s="63">
        <v>36099</v>
      </c>
      <c r="D63" s="59">
        <v>-11802</v>
      </c>
      <c r="F63" s="59">
        <v>12153</v>
      </c>
      <c r="G63" s="59"/>
      <c r="H63" s="59"/>
      <c r="I63" s="59">
        <v>21806</v>
      </c>
      <c r="J63" s="59">
        <f t="shared" si="6"/>
        <v>353185</v>
      </c>
      <c r="K63" s="59"/>
      <c r="M63" s="59"/>
      <c r="N63" s="59"/>
      <c r="O63" s="59">
        <v>76785</v>
      </c>
      <c r="P63" s="59"/>
      <c r="Q63" s="59"/>
      <c r="R63" s="59">
        <f t="shared" si="7"/>
        <v>532963</v>
      </c>
      <c r="S63" s="654">
        <f t="shared" si="28"/>
        <v>0.97676315239662637</v>
      </c>
      <c r="T63" s="59">
        <f t="shared" si="29"/>
        <v>98942</v>
      </c>
      <c r="U63" s="59">
        <v>4798</v>
      </c>
      <c r="V63" s="59">
        <f t="shared" si="5"/>
        <v>93138.65</v>
      </c>
      <c r="X63" s="59">
        <f t="shared" si="22"/>
        <v>998005</v>
      </c>
      <c r="Z63" s="103">
        <f t="shared" si="3"/>
        <v>94144</v>
      </c>
      <c r="AA63" s="59">
        <f t="shared" si="10"/>
        <v>83167.083333333328</v>
      </c>
      <c r="AB63" s="59">
        <f t="shared" si="30"/>
        <v>-41971</v>
      </c>
      <c r="AC63" s="654">
        <f t="shared" si="11"/>
        <v>-4.2054899524551478E-2</v>
      </c>
      <c r="AF63" s="59">
        <v>4798</v>
      </c>
      <c r="AG63" s="103">
        <f t="shared" si="23"/>
        <v>-41971</v>
      </c>
      <c r="AH63" s="103">
        <f t="shared" si="14"/>
        <v>-181879.30999999997</v>
      </c>
      <c r="AJ63" s="293">
        <f t="shared" si="4"/>
        <v>11440.810000000005</v>
      </c>
      <c r="AK63" s="59">
        <f t="shared" si="18"/>
        <v>-6642.8100000000049</v>
      </c>
      <c r="AL63" s="97">
        <f t="shared" si="13"/>
        <v>44126924.696100064</v>
      </c>
      <c r="AQ63" s="260">
        <v>-11802</v>
      </c>
      <c r="AR63" s="260">
        <v>12153</v>
      </c>
      <c r="AS63" s="687">
        <v>21806</v>
      </c>
      <c r="AT63" s="260">
        <v>76785</v>
      </c>
      <c r="AY63">
        <v>0</v>
      </c>
    </row>
    <row r="64" spans="1:51" s="227" customFormat="1" ht="14" thickBot="1">
      <c r="A64" s="655">
        <v>36129</v>
      </c>
      <c r="B64" s="450"/>
      <c r="C64" s="660"/>
      <c r="D64" s="656">
        <v>0</v>
      </c>
      <c r="F64" s="656">
        <v>16427</v>
      </c>
      <c r="G64" s="656"/>
      <c r="H64" s="656"/>
      <c r="I64" s="656">
        <v>59058</v>
      </c>
      <c r="J64" s="656">
        <f t="shared" si="6"/>
        <v>389749</v>
      </c>
      <c r="K64" s="656"/>
      <c r="M64" s="656"/>
      <c r="N64" s="656"/>
      <c r="O64" s="656">
        <v>48848</v>
      </c>
      <c r="P64" s="656"/>
      <c r="Q64" s="656"/>
      <c r="R64" s="656">
        <f t="shared" si="7"/>
        <v>508333</v>
      </c>
      <c r="S64" s="657">
        <f t="shared" si="28"/>
        <v>0.90939714979838204</v>
      </c>
      <c r="T64" s="656">
        <f t="shared" si="29"/>
        <v>124333</v>
      </c>
      <c r="U64" s="656">
        <v>-26393</v>
      </c>
      <c r="V64" s="59">
        <f t="shared" si="5"/>
        <v>115446.15</v>
      </c>
      <c r="W64" s="59"/>
      <c r="X64" s="656">
        <f t="shared" si="22"/>
        <v>1010434</v>
      </c>
      <c r="Z64" s="103">
        <f t="shared" si="3"/>
        <v>150726</v>
      </c>
      <c r="AA64" s="59">
        <f t="shared" si="10"/>
        <v>84202.833333333328</v>
      </c>
      <c r="AB64" s="656">
        <f t="shared" si="30"/>
        <v>-95000</v>
      </c>
      <c r="AC64" s="657">
        <f t="shared" si="11"/>
        <v>-9.4019005694582727E-2</v>
      </c>
      <c r="AF64" s="656">
        <v>-26393</v>
      </c>
      <c r="AG64" s="450">
        <f t="shared" si="23"/>
        <v>-95000</v>
      </c>
      <c r="AH64" s="450">
        <f t="shared" si="14"/>
        <v>-187965.76999999996</v>
      </c>
      <c r="AJ64" s="658">
        <f t="shared" si="4"/>
        <v>2595.3199999999997</v>
      </c>
      <c r="AK64" s="656">
        <f t="shared" si="18"/>
        <v>-28988.32</v>
      </c>
      <c r="AL64" s="659">
        <f t="shared" si="13"/>
        <v>840322696.4224</v>
      </c>
      <c r="AQ64" s="688">
        <v>0</v>
      </c>
      <c r="AR64" s="688">
        <v>16427</v>
      </c>
      <c r="AS64" s="689">
        <v>59058</v>
      </c>
      <c r="AT64" s="688">
        <v>48848</v>
      </c>
      <c r="AU64" s="688"/>
      <c r="AX64" s="617"/>
      <c r="AY64" s="227">
        <v>0</v>
      </c>
    </row>
    <row r="65" spans="1:51">
      <c r="A65" s="63">
        <v>36160</v>
      </c>
      <c r="D65" s="606">
        <v>0</v>
      </c>
      <c r="F65" s="59">
        <v>33848</v>
      </c>
      <c r="G65" s="59"/>
      <c r="H65" s="59"/>
      <c r="I65" s="59">
        <v>4308</v>
      </c>
      <c r="J65" s="59">
        <f t="shared" si="6"/>
        <v>370612</v>
      </c>
      <c r="K65" s="59"/>
      <c r="M65" s="59"/>
      <c r="N65" s="59"/>
      <c r="O65" s="59">
        <f>53511+514</f>
        <v>54025</v>
      </c>
      <c r="P65" s="59"/>
      <c r="Q65" s="59"/>
      <c r="R65" s="59">
        <f t="shared" si="7"/>
        <v>539875</v>
      </c>
      <c r="S65" s="654">
        <f t="shared" si="28"/>
        <v>0.95999793730473304</v>
      </c>
      <c r="T65" s="59">
        <f t="shared" si="29"/>
        <v>92181</v>
      </c>
      <c r="U65" s="59">
        <v>5763</v>
      </c>
      <c r="V65" s="59">
        <f t="shared" si="5"/>
        <v>103434.2</v>
      </c>
      <c r="X65" s="59">
        <f t="shared" si="22"/>
        <v>1025099</v>
      </c>
      <c r="Z65" s="103">
        <f t="shared" si="3"/>
        <v>86418</v>
      </c>
      <c r="AA65" s="59">
        <f t="shared" si="10"/>
        <v>85424.916666666672</v>
      </c>
      <c r="AB65" s="59">
        <f t="shared" si="30"/>
        <v>-70892</v>
      </c>
      <c r="AC65" s="654">
        <f t="shared" si="11"/>
        <v>-6.915624734781714E-2</v>
      </c>
      <c r="AF65" s="59">
        <v>5763</v>
      </c>
      <c r="AG65" s="103">
        <f t="shared" si="23"/>
        <v>-70892</v>
      </c>
      <c r="AH65" s="103">
        <f t="shared" si="14"/>
        <v>-167434.72999999998</v>
      </c>
      <c r="AJ65" s="293">
        <f t="shared" si="4"/>
        <v>-17775.070000000007</v>
      </c>
      <c r="AK65" s="59">
        <f t="shared" si="18"/>
        <v>23538.070000000007</v>
      </c>
      <c r="AL65" s="97">
        <f t="shared" si="13"/>
        <v>554040739.32490027</v>
      </c>
      <c r="AQ65" s="260">
        <v>0</v>
      </c>
      <c r="AR65" s="260">
        <v>33848</v>
      </c>
      <c r="AS65" s="687">
        <v>4308</v>
      </c>
      <c r="AT65" s="260">
        <v>54025</v>
      </c>
      <c r="AY65">
        <v>0</v>
      </c>
    </row>
    <row r="66" spans="1:51">
      <c r="A66" s="63">
        <v>36191</v>
      </c>
      <c r="D66" s="59">
        <v>54498</v>
      </c>
      <c r="F66" s="59">
        <v>22266</v>
      </c>
      <c r="G66" s="59"/>
      <c r="H66" s="59"/>
      <c r="I66" s="59">
        <v>6011</v>
      </c>
      <c r="J66" s="59">
        <f t="shared" si="6"/>
        <v>303057</v>
      </c>
      <c r="K66" s="59"/>
      <c r="M66" s="59"/>
      <c r="N66" s="59"/>
      <c r="O66" s="59">
        <f>18356+4148</f>
        <v>22504</v>
      </c>
      <c r="P66" s="59"/>
      <c r="Q66" s="59"/>
      <c r="R66" s="59">
        <f t="shared" si="7"/>
        <v>527731</v>
      </c>
      <c r="S66" s="654">
        <f t="shared" si="28"/>
        <v>0.95368131530535161</v>
      </c>
      <c r="T66" s="59">
        <f t="shared" si="29"/>
        <v>105279</v>
      </c>
      <c r="U66" s="59">
        <v>-5839</v>
      </c>
      <c r="V66" s="59">
        <f t="shared" si="5"/>
        <v>100694.70000000001</v>
      </c>
      <c r="X66" s="59">
        <f t="shared" si="22"/>
        <v>1022520</v>
      </c>
      <c r="Z66" s="103">
        <f t="shared" si="3"/>
        <v>111118</v>
      </c>
      <c r="AA66" s="59">
        <f t="shared" si="10"/>
        <v>85210</v>
      </c>
      <c r="AB66" s="59">
        <f t="shared" si="30"/>
        <v>-98754</v>
      </c>
      <c r="AC66" s="654">
        <f t="shared" si="11"/>
        <v>-9.6579040018777138E-2</v>
      </c>
      <c r="AF66" s="59">
        <v>-5839</v>
      </c>
      <c r="AG66" s="103">
        <f t="shared" si="23"/>
        <v>-98754</v>
      </c>
      <c r="AH66" s="103">
        <f t="shared" si="14"/>
        <v>-209803.94999999998</v>
      </c>
      <c r="AJ66" s="293">
        <f t="shared" si="4"/>
        <v>-46306.22</v>
      </c>
      <c r="AK66" s="59">
        <f t="shared" si="18"/>
        <v>40467.22</v>
      </c>
      <c r="AL66" s="97">
        <f t="shared" si="13"/>
        <v>1637595894.5284002</v>
      </c>
      <c r="AQ66" s="260">
        <v>54498</v>
      </c>
      <c r="AR66" s="260">
        <v>22266</v>
      </c>
      <c r="AS66" s="687">
        <v>6011</v>
      </c>
      <c r="AT66" s="260">
        <v>22504</v>
      </c>
      <c r="AY66">
        <v>0</v>
      </c>
    </row>
    <row r="67" spans="1:51">
      <c r="A67" s="63">
        <v>36219</v>
      </c>
      <c r="D67" s="59">
        <v>-27358</v>
      </c>
      <c r="F67" s="59">
        <v>8307</v>
      </c>
      <c r="G67" s="59"/>
      <c r="H67" s="59"/>
      <c r="I67" s="59">
        <v>60112</v>
      </c>
      <c r="J67" s="59">
        <f t="shared" si="6"/>
        <v>335119</v>
      </c>
      <c r="K67" s="59"/>
      <c r="M67" s="59"/>
      <c r="N67" s="59"/>
      <c r="O67" s="59">
        <f>64816+3449</f>
        <v>68265</v>
      </c>
      <c r="P67" s="59"/>
      <c r="Q67" s="59"/>
      <c r="R67" s="59">
        <f t="shared" si="7"/>
        <v>576646</v>
      </c>
      <c r="S67" s="654">
        <f t="shared" si="28"/>
        <v>1.117028777758837</v>
      </c>
      <c r="T67" s="59">
        <f t="shared" si="29"/>
        <v>109326</v>
      </c>
      <c r="U67" s="59">
        <v>1498</v>
      </c>
      <c r="V67" s="59">
        <f t="shared" si="5"/>
        <v>107909.55</v>
      </c>
      <c r="X67" s="59">
        <f t="shared" si="22"/>
        <v>1061770</v>
      </c>
      <c r="Z67" s="103">
        <f t="shared" si="3"/>
        <v>107828</v>
      </c>
      <c r="AA67" s="59">
        <f t="shared" si="10"/>
        <v>88480.833333333328</v>
      </c>
      <c r="AB67" s="59">
        <f t="shared" si="30"/>
        <v>-83321</v>
      </c>
      <c r="AC67" s="654">
        <f t="shared" si="11"/>
        <v>-7.8473680740650045E-2</v>
      </c>
      <c r="AF67" s="59">
        <v>1498</v>
      </c>
      <c r="AG67" s="103">
        <f t="shared" si="23"/>
        <v>-83321</v>
      </c>
      <c r="AH67" s="103">
        <f t="shared" si="14"/>
        <v>-149564.47999999998</v>
      </c>
      <c r="AJ67" s="293">
        <f t="shared" si="4"/>
        <v>21137.970000000008</v>
      </c>
      <c r="AK67" s="59">
        <f t="shared" si="18"/>
        <v>-19639.970000000008</v>
      </c>
      <c r="AL67" s="97">
        <f t="shared" si="13"/>
        <v>385728421.60090035</v>
      </c>
      <c r="AQ67" s="260">
        <v>-27358</v>
      </c>
      <c r="AR67" s="260">
        <v>8307</v>
      </c>
      <c r="AS67" s="687">
        <v>60112</v>
      </c>
      <c r="AT67" s="260">
        <v>68265</v>
      </c>
      <c r="AY67">
        <v>0</v>
      </c>
    </row>
    <row r="68" spans="1:51">
      <c r="A68" s="63">
        <v>36250</v>
      </c>
      <c r="D68" s="59">
        <v>36525</v>
      </c>
      <c r="F68" s="59">
        <v>6732</v>
      </c>
      <c r="G68" s="59"/>
      <c r="H68" s="59"/>
      <c r="I68" s="59">
        <v>48908</v>
      </c>
      <c r="J68" s="59">
        <f t="shared" si="6"/>
        <v>336116</v>
      </c>
      <c r="K68" s="59"/>
      <c r="M68" s="59"/>
      <c r="N68" s="59"/>
      <c r="O68" s="59">
        <f>47991+1294</f>
        <v>49285</v>
      </c>
      <c r="P68" s="59"/>
      <c r="Q68" s="59"/>
      <c r="R68" s="59">
        <f t="shared" si="7"/>
        <v>570423</v>
      </c>
      <c r="S68" s="654">
        <f t="shared" si="28"/>
        <v>1.0916058436065939</v>
      </c>
      <c r="T68" s="59">
        <f t="shared" si="29"/>
        <v>141450</v>
      </c>
      <c r="U68" s="59">
        <v>4329</v>
      </c>
      <c r="V68" s="59">
        <f t="shared" si="5"/>
        <v>130206.6</v>
      </c>
      <c r="X68" s="59">
        <f t="shared" si="22"/>
        <v>1146418</v>
      </c>
      <c r="Z68" s="103">
        <f t="shared" si="3"/>
        <v>137121</v>
      </c>
      <c r="AA68" s="59">
        <f t="shared" si="10"/>
        <v>95534.833333333328</v>
      </c>
      <c r="AB68" s="59">
        <f t="shared" si="30"/>
        <v>-63851</v>
      </c>
      <c r="AC68" s="654">
        <f t="shared" si="11"/>
        <v>-5.5696089907869555E-2</v>
      </c>
      <c r="AF68" s="59">
        <v>4329</v>
      </c>
      <c r="AG68" s="103">
        <f t="shared" si="23"/>
        <v>-63851</v>
      </c>
      <c r="AH68" s="103">
        <f t="shared" si="14"/>
        <v>-154893.24999999997</v>
      </c>
      <c r="AJ68" s="293">
        <f t="shared" si="4"/>
        <v>-1667.2699999999968</v>
      </c>
      <c r="AK68" s="59">
        <f t="shared" si="18"/>
        <v>5996.2699999999968</v>
      </c>
      <c r="AL68" s="97">
        <f t="shared" si="13"/>
        <v>35955253.912899964</v>
      </c>
      <c r="AQ68" s="260">
        <v>36525</v>
      </c>
      <c r="AR68" s="260">
        <v>6732</v>
      </c>
      <c r="AS68" s="687">
        <v>48908</v>
      </c>
      <c r="AT68" s="260">
        <v>49285</v>
      </c>
      <c r="AY68">
        <v>0</v>
      </c>
    </row>
    <row r="69" spans="1:51">
      <c r="A69" s="63">
        <v>36280</v>
      </c>
      <c r="D69" s="59">
        <v>-60969</v>
      </c>
      <c r="F69" s="59">
        <v>43252</v>
      </c>
      <c r="G69" s="59"/>
      <c r="H69" s="59"/>
      <c r="I69" s="59">
        <v>66460</v>
      </c>
      <c r="J69" s="59">
        <f t="shared" si="6"/>
        <v>370987</v>
      </c>
      <c r="K69" s="59"/>
      <c r="M69" s="59"/>
      <c r="N69" s="59"/>
      <c r="O69" s="59">
        <f>71079+12250</f>
        <v>83329</v>
      </c>
      <c r="P69" s="59"/>
      <c r="Q69" s="59"/>
      <c r="R69" s="59">
        <f t="shared" si="7"/>
        <v>594735</v>
      </c>
      <c r="S69" s="654">
        <f t="shared" si="28"/>
        <v>1.0960149935315517</v>
      </c>
      <c r="T69" s="59">
        <f t="shared" si="29"/>
        <v>132072</v>
      </c>
      <c r="U69" s="59">
        <v>10820</v>
      </c>
      <c r="V69" s="59">
        <f t="shared" si="5"/>
        <v>135354.29999999999</v>
      </c>
      <c r="X69" s="59">
        <f t="shared" si="22"/>
        <v>1174985</v>
      </c>
      <c r="Z69" s="103">
        <f t="shared" si="3"/>
        <v>121252</v>
      </c>
      <c r="AA69" s="59">
        <f t="shared" si="10"/>
        <v>97915.416666666672</v>
      </c>
      <c r="AB69" s="59">
        <f t="shared" si="30"/>
        <v>-93523</v>
      </c>
      <c r="AC69" s="654">
        <f t="shared" si="11"/>
        <v>-7.959505866032332E-2</v>
      </c>
      <c r="AF69" s="59">
        <v>10820</v>
      </c>
      <c r="AG69" s="103">
        <f t="shared" si="23"/>
        <v>-93523</v>
      </c>
      <c r="AH69" s="103">
        <f t="shared" si="14"/>
        <v>-116242.42999999996</v>
      </c>
      <c r="AJ69" s="293">
        <f t="shared" si="4"/>
        <v>38067.570000000007</v>
      </c>
      <c r="AK69" s="59">
        <f t="shared" si="18"/>
        <v>-27247.570000000007</v>
      </c>
      <c r="AL69" s="97">
        <f t="shared" si="13"/>
        <v>742430070.90490043</v>
      </c>
      <c r="AQ69" s="260">
        <v>-60969</v>
      </c>
      <c r="AR69" s="260">
        <v>43252</v>
      </c>
      <c r="AS69" s="687">
        <v>66460</v>
      </c>
      <c r="AT69" s="260">
        <v>83329</v>
      </c>
      <c r="AY69">
        <v>0</v>
      </c>
    </row>
    <row r="70" spans="1:51">
      <c r="A70" s="63">
        <v>36311</v>
      </c>
      <c r="D70" s="59">
        <v>65385</v>
      </c>
      <c r="F70" s="59">
        <v>0</v>
      </c>
      <c r="G70" s="59">
        <f>SUM(F59:F70)</f>
        <v>219467</v>
      </c>
      <c r="H70" s="59"/>
      <c r="I70" s="59">
        <v>38457</v>
      </c>
      <c r="J70" s="59">
        <f t="shared" si="6"/>
        <v>391301</v>
      </c>
      <c r="K70" s="59"/>
      <c r="M70" s="59"/>
      <c r="N70" s="59"/>
      <c r="O70" s="59">
        <f>57694+3196</f>
        <v>60890</v>
      </c>
      <c r="P70" s="59"/>
      <c r="Q70" s="59"/>
      <c r="R70" s="59">
        <f t="shared" si="7"/>
        <v>621372</v>
      </c>
      <c r="S70" s="654">
        <f t="shared" si="28"/>
        <v>1.1990020087179516</v>
      </c>
      <c r="T70" s="59">
        <f t="shared" si="29"/>
        <v>164732</v>
      </c>
      <c r="U70" s="59">
        <v>36004</v>
      </c>
      <c r="V70" s="59">
        <f t="shared" si="5"/>
        <v>153301</v>
      </c>
      <c r="X70" s="59">
        <f t="shared" si="22"/>
        <v>1280061</v>
      </c>
      <c r="Z70" s="103">
        <f t="shared" ref="Z70:Z124" si="31">T70-U70-N70</f>
        <v>128728</v>
      </c>
      <c r="AA70" s="59">
        <f t="shared" si="10"/>
        <v>106671.75</v>
      </c>
      <c r="AB70" s="59">
        <f t="shared" si="30"/>
        <v>-26916</v>
      </c>
      <c r="AC70" s="654">
        <f t="shared" si="11"/>
        <v>-2.102712292617305E-2</v>
      </c>
      <c r="AF70" s="59">
        <v>36004</v>
      </c>
      <c r="AG70" s="103">
        <f t="shared" si="23"/>
        <v>-26916</v>
      </c>
      <c r="AH70" s="103">
        <f t="shared" si="14"/>
        <v>-82125.579999999958</v>
      </c>
      <c r="AJ70" s="293">
        <f t="shared" ref="AJ70:AJ124" si="32">-$AJ$1+I70*$AK$1+O70*$AL$1+N70</f>
        <v>4317.9200000000055</v>
      </c>
      <c r="AK70" s="59">
        <f t="shared" si="18"/>
        <v>31686.079999999994</v>
      </c>
      <c r="AL70" s="97">
        <f t="shared" si="13"/>
        <v>1004007665.7663996</v>
      </c>
      <c r="AQ70" s="260">
        <v>65385</v>
      </c>
      <c r="AR70" s="260">
        <v>0</v>
      </c>
      <c r="AS70" s="687">
        <v>38457</v>
      </c>
      <c r="AT70" s="260">
        <v>60890</v>
      </c>
      <c r="AY70">
        <v>0</v>
      </c>
    </row>
    <row r="71" spans="1:51">
      <c r="A71" s="63">
        <v>36341</v>
      </c>
      <c r="B71" s="103">
        <v>487751</v>
      </c>
      <c r="D71" s="59">
        <v>-58975</v>
      </c>
      <c r="E71">
        <v>5223</v>
      </c>
      <c r="F71" s="59">
        <v>39225</v>
      </c>
      <c r="G71" s="59">
        <f t="shared" ref="G71:G134" si="33">SUM(F60:F71)</f>
        <v>236220</v>
      </c>
      <c r="H71" s="59"/>
      <c r="I71" s="59">
        <v>52139</v>
      </c>
      <c r="J71" s="59">
        <f t="shared" si="6"/>
        <v>437845</v>
      </c>
      <c r="K71" s="59"/>
      <c r="M71" s="59"/>
      <c r="N71" s="59"/>
      <c r="O71" s="59">
        <f>76474+1505</f>
        <v>77979</v>
      </c>
      <c r="P71" s="59"/>
      <c r="Q71" s="59"/>
      <c r="R71" s="59">
        <f t="shared" si="7"/>
        <v>651183</v>
      </c>
      <c r="S71" s="654">
        <f t="shared" si="28"/>
        <v>1.2097746847295399</v>
      </c>
      <c r="T71" s="59">
        <f t="shared" si="29"/>
        <v>115591</v>
      </c>
      <c r="U71" s="59">
        <v>-13113</v>
      </c>
      <c r="V71" s="59">
        <f t="shared" ref="V71:V101" si="34">(T70*0.35+T71*0.65)</f>
        <v>132790.35</v>
      </c>
      <c r="X71" s="59">
        <f t="shared" si="22"/>
        <v>1323820</v>
      </c>
      <c r="Z71" s="103">
        <f t="shared" si="31"/>
        <v>128704</v>
      </c>
      <c r="AA71" s="59">
        <f t="shared" si="10"/>
        <v>110318.33333333333</v>
      </c>
      <c r="AB71" s="59">
        <f t="shared" si="30"/>
        <v>-22409</v>
      </c>
      <c r="AC71" s="654">
        <f t="shared" si="11"/>
        <v>-1.6927527911649622E-2</v>
      </c>
      <c r="AF71" s="59">
        <v>-13113</v>
      </c>
      <c r="AG71" s="103">
        <f t="shared" si="23"/>
        <v>-22409</v>
      </c>
      <c r="AH71" s="103">
        <f t="shared" si="14"/>
        <v>-32991.109999999964</v>
      </c>
      <c r="AJ71" s="293">
        <f t="shared" si="32"/>
        <v>26504.410000000003</v>
      </c>
      <c r="AK71" s="59">
        <f t="shared" si="18"/>
        <v>-39617.410000000003</v>
      </c>
      <c r="AL71" s="97">
        <f t="shared" si="13"/>
        <v>1569539175.1081002</v>
      </c>
      <c r="AQ71" s="260">
        <v>-58975</v>
      </c>
      <c r="AR71" s="260">
        <v>39225</v>
      </c>
      <c r="AS71" s="687">
        <v>52139</v>
      </c>
      <c r="AT71" s="260">
        <v>77979</v>
      </c>
      <c r="AU71" s="260">
        <v>5223</v>
      </c>
      <c r="AY71">
        <v>0</v>
      </c>
    </row>
    <row r="72" spans="1:51">
      <c r="A72" s="63">
        <v>36372</v>
      </c>
      <c r="B72" s="103">
        <v>506000</v>
      </c>
      <c r="C72" s="183">
        <f>B72/X72*365</f>
        <v>136.26054840646944</v>
      </c>
      <c r="D72" s="59">
        <v>-2074</v>
      </c>
      <c r="F72" s="59">
        <v>16882</v>
      </c>
      <c r="G72" s="59">
        <f t="shared" si="33"/>
        <v>245228</v>
      </c>
      <c r="H72" s="59"/>
      <c r="I72" s="59">
        <v>23443</v>
      </c>
      <c r="J72" s="59">
        <f t="shared" si="6"/>
        <v>453571</v>
      </c>
      <c r="K72" s="59"/>
      <c r="M72" s="59"/>
      <c r="N72" s="59"/>
      <c r="O72" s="59">
        <f>38207+12048</f>
        <v>50255</v>
      </c>
      <c r="P72" s="59"/>
      <c r="Q72" s="59"/>
      <c r="R72" s="59">
        <f t="shared" si="7"/>
        <v>657567</v>
      </c>
      <c r="S72" s="654">
        <f t="shared" si="28"/>
        <v>1.2235124906501538</v>
      </c>
      <c r="T72" s="59">
        <f t="shared" si="29"/>
        <v>88506</v>
      </c>
      <c r="U72" s="59">
        <v>-18153</v>
      </c>
      <c r="V72" s="59">
        <f t="shared" si="34"/>
        <v>97985.75</v>
      </c>
      <c r="X72" s="59">
        <f t="shared" si="22"/>
        <v>1355418</v>
      </c>
      <c r="Z72" s="103">
        <f t="shared" si="31"/>
        <v>106659</v>
      </c>
      <c r="AA72" s="59">
        <f t="shared" si="10"/>
        <v>112951.5</v>
      </c>
      <c r="AB72" s="59">
        <f t="shared" si="30"/>
        <v>-11326</v>
      </c>
      <c r="AC72" s="654">
        <f t="shared" si="11"/>
        <v>-8.3560938396863554E-3</v>
      </c>
      <c r="AF72" s="59">
        <v>-18153</v>
      </c>
      <c r="AG72" s="103">
        <f t="shared" si="23"/>
        <v>-11326</v>
      </c>
      <c r="AH72" s="103">
        <f t="shared" si="14"/>
        <v>-19820.02999999997</v>
      </c>
      <c r="AJ72" s="293">
        <f t="shared" si="32"/>
        <v>-12479.07</v>
      </c>
      <c r="AK72" s="59">
        <f t="shared" si="18"/>
        <v>-5673.93</v>
      </c>
      <c r="AL72" s="97">
        <f t="shared" si="13"/>
        <v>32193481.644900002</v>
      </c>
      <c r="AQ72" s="260">
        <v>-2074</v>
      </c>
      <c r="AR72" s="260">
        <v>16882</v>
      </c>
      <c r="AS72" s="687">
        <v>23443</v>
      </c>
      <c r="AT72" s="260">
        <v>50255</v>
      </c>
      <c r="AY72">
        <v>0</v>
      </c>
    </row>
    <row r="73" spans="1:51">
      <c r="A73" s="63">
        <v>36403</v>
      </c>
      <c r="B73" s="103">
        <v>468727.97</v>
      </c>
      <c r="D73" s="642">
        <v>-133</v>
      </c>
      <c r="E73">
        <v>2039</v>
      </c>
      <c r="F73" s="59">
        <v>21137</v>
      </c>
      <c r="G73" s="59">
        <f t="shared" si="33"/>
        <v>259132</v>
      </c>
      <c r="H73" s="59"/>
      <c r="I73" s="59">
        <v>17601</v>
      </c>
      <c r="J73" s="59">
        <f t="shared" si="6"/>
        <v>435957</v>
      </c>
      <c r="K73" s="59"/>
      <c r="M73" s="59"/>
      <c r="N73" s="59"/>
      <c r="O73" s="59">
        <f>10706+62057</f>
        <v>72763</v>
      </c>
      <c r="P73" s="59"/>
      <c r="Q73" s="59"/>
      <c r="R73" s="59">
        <f t="shared" si="7"/>
        <v>693272</v>
      </c>
      <c r="S73" s="654">
        <f t="shared" si="28"/>
        <v>1.3011983971321053</v>
      </c>
      <c r="T73" s="59">
        <f t="shared" si="29"/>
        <v>113407</v>
      </c>
      <c r="U73" s="59">
        <v>1787</v>
      </c>
      <c r="V73" s="59">
        <f t="shared" si="34"/>
        <v>104691.65</v>
      </c>
      <c r="X73" s="59">
        <f>SUM(T62:T73)</f>
        <v>1368180</v>
      </c>
      <c r="Z73" s="103">
        <f t="shared" si="31"/>
        <v>111620</v>
      </c>
      <c r="AA73" s="59">
        <f t="shared" si="10"/>
        <v>114015</v>
      </c>
      <c r="AB73" s="59">
        <f t="shared" si="30"/>
        <v>-21883</v>
      </c>
      <c r="AC73" s="654">
        <f t="shared" si="11"/>
        <v>-1.5994240523907674E-2</v>
      </c>
      <c r="AF73" s="59">
        <v>1787</v>
      </c>
      <c r="AG73" s="103">
        <f>SUM(AF62:AF73)</f>
        <v>-21883</v>
      </c>
      <c r="AH73" s="103">
        <f>SUM(AJ62:AJ73)</f>
        <v>5283.1800000000148</v>
      </c>
      <c r="AJ73" s="293">
        <f t="shared" si="32"/>
        <v>5766.0499999999956</v>
      </c>
      <c r="AK73" s="59">
        <f>AF73-AJ73</f>
        <v>-3979.0499999999956</v>
      </c>
      <c r="AL73" s="97">
        <f t="shared" si="13"/>
        <v>15832838.902499964</v>
      </c>
      <c r="AM73" s="103">
        <f>SUM(AK62:AK73)</f>
        <v>-27166.180000000018</v>
      </c>
      <c r="AQ73" s="260">
        <v>-133</v>
      </c>
      <c r="AR73" s="260">
        <v>21137</v>
      </c>
      <c r="AS73" s="687">
        <v>17601</v>
      </c>
      <c r="AT73" s="260">
        <v>72763</v>
      </c>
      <c r="AU73" s="260">
        <v>2039</v>
      </c>
      <c r="AY73">
        <v>0</v>
      </c>
    </row>
    <row r="74" spans="1:51">
      <c r="A74" s="63">
        <v>36433</v>
      </c>
      <c r="D74">
        <v>-6898</v>
      </c>
      <c r="F74" s="59">
        <v>42993</v>
      </c>
      <c r="G74" s="59">
        <f t="shared" si="33"/>
        <v>263222</v>
      </c>
      <c r="H74" s="59"/>
      <c r="I74" s="59">
        <v>11818</v>
      </c>
      <c r="J74" s="59">
        <f t="shared" si="6"/>
        <v>410121</v>
      </c>
      <c r="K74" s="59"/>
      <c r="L74" s="59">
        <v>76140</v>
      </c>
      <c r="M74" s="59">
        <v>10706</v>
      </c>
      <c r="N74" s="59"/>
      <c r="O74" s="59">
        <f>L74+M74+N74</f>
        <v>86846</v>
      </c>
      <c r="P74" s="59"/>
      <c r="Q74" s="59"/>
      <c r="R74" s="59">
        <f t="shared" si="7"/>
        <v>751774</v>
      </c>
      <c r="S74" s="654">
        <f t="shared" si="28"/>
        <v>1.4366682209770751</v>
      </c>
      <c r="T74" s="59">
        <f t="shared" si="29"/>
        <v>134759</v>
      </c>
      <c r="U74" s="59">
        <v>21657</v>
      </c>
      <c r="V74" s="59">
        <f t="shared" si="34"/>
        <v>127285.8</v>
      </c>
      <c r="X74" s="59">
        <f t="shared" ref="X74:X86" si="35">SUM(T63:T74)</f>
        <v>1420578</v>
      </c>
      <c r="Z74" s="103">
        <f t="shared" si="31"/>
        <v>113102</v>
      </c>
      <c r="AA74" s="59">
        <f t="shared" si="10"/>
        <v>118381.5</v>
      </c>
      <c r="AB74" s="59">
        <f t="shared" si="30"/>
        <v>23158</v>
      </c>
      <c r="AC74" s="654">
        <f t="shared" si="11"/>
        <v>1.6301815176639367E-2</v>
      </c>
      <c r="AF74" s="59">
        <f>U74</f>
        <v>21657</v>
      </c>
      <c r="AG74" s="103">
        <f t="shared" ref="AG74:AG85" si="36">SUM(AF63:AF74)</f>
        <v>23158</v>
      </c>
      <c r="AH74" s="103">
        <f t="shared" ref="AH74:AH85" si="37">SUM(AJ63:AJ74)</f>
        <v>47805.480000000018</v>
      </c>
      <c r="AJ74" s="293">
        <f t="shared" si="32"/>
        <v>16203.059999999998</v>
      </c>
      <c r="AK74" s="59">
        <f t="shared" ref="AK74:AK85" si="38">AF74-AJ74</f>
        <v>5453.9400000000023</v>
      </c>
      <c r="AL74" s="97">
        <f t="shared" si="13"/>
        <v>29745461.523600027</v>
      </c>
      <c r="AM74" s="103">
        <f t="shared" ref="AM74:AM86" si="39">SUM(AK63:AK74)</f>
        <v>-24647.480000000018</v>
      </c>
      <c r="AQ74" s="260">
        <v>-6898</v>
      </c>
      <c r="AR74" s="260">
        <v>42993</v>
      </c>
      <c r="AS74" s="687">
        <v>11818</v>
      </c>
      <c r="AT74" s="260">
        <v>86846</v>
      </c>
      <c r="AY74">
        <v>0</v>
      </c>
    </row>
    <row r="75" spans="1:51" s="696" customFormat="1">
      <c r="A75" s="693">
        <v>36464</v>
      </c>
      <c r="B75" s="694"/>
      <c r="C75" s="695"/>
      <c r="D75" s="696">
        <v>0</v>
      </c>
      <c r="F75" s="697">
        <v>30294</v>
      </c>
      <c r="G75" s="697">
        <f t="shared" si="33"/>
        <v>281363</v>
      </c>
      <c r="H75" s="697"/>
      <c r="I75" s="697">
        <v>5688</v>
      </c>
      <c r="J75" s="697">
        <f t="shared" si="6"/>
        <v>394003</v>
      </c>
      <c r="K75" s="697"/>
      <c r="L75" s="697">
        <v>56484</v>
      </c>
      <c r="M75" s="697">
        <v>2784</v>
      </c>
      <c r="N75" s="697"/>
      <c r="O75" s="697">
        <f t="shared" ref="O75:O112" si="40">L75+M75+N75</f>
        <v>59268</v>
      </c>
      <c r="P75" s="697"/>
      <c r="Q75" s="697"/>
      <c r="R75" s="697">
        <f t="shared" si="7"/>
        <v>734257</v>
      </c>
      <c r="S75" s="698">
        <f t="shared" si="28"/>
        <v>1.3776885074573657</v>
      </c>
      <c r="T75" s="697">
        <f t="shared" si="29"/>
        <v>95250</v>
      </c>
      <c r="U75" s="697">
        <v>-24860</v>
      </c>
      <c r="V75" s="697">
        <f t="shared" si="34"/>
        <v>109078.15</v>
      </c>
      <c r="W75" s="697"/>
      <c r="X75" s="697">
        <f t="shared" si="35"/>
        <v>1416886</v>
      </c>
      <c r="Z75" s="694">
        <f t="shared" si="31"/>
        <v>120110</v>
      </c>
      <c r="AA75" s="697">
        <f t="shared" si="10"/>
        <v>118073.83333333333</v>
      </c>
      <c r="AB75" s="697">
        <f t="shared" si="30"/>
        <v>-6500</v>
      </c>
      <c r="AC75" s="698">
        <f t="shared" si="11"/>
        <v>-4.5875250373001077E-3</v>
      </c>
      <c r="AF75" s="697">
        <f t="shared" ref="AF75:AF86" si="41">U75</f>
        <v>-24860</v>
      </c>
      <c r="AG75" s="694">
        <f t="shared" si="36"/>
        <v>-6500</v>
      </c>
      <c r="AH75" s="694">
        <f t="shared" si="37"/>
        <v>24100.390000000014</v>
      </c>
      <c r="AJ75" s="699">
        <f t="shared" si="32"/>
        <v>-12264.279999999999</v>
      </c>
      <c r="AK75" s="697">
        <f t="shared" si="38"/>
        <v>-12595.720000000001</v>
      </c>
      <c r="AL75" s="700">
        <f t="shared" si="13"/>
        <v>158652162.31840003</v>
      </c>
      <c r="AM75" s="694">
        <f t="shared" si="39"/>
        <v>-30600.390000000014</v>
      </c>
      <c r="AQ75" s="701">
        <v>0</v>
      </c>
      <c r="AR75" s="701">
        <v>30294</v>
      </c>
      <c r="AS75" s="702">
        <v>5688</v>
      </c>
      <c r="AT75" s="701">
        <v>59268</v>
      </c>
      <c r="AU75" s="701"/>
      <c r="AX75" s="703"/>
      <c r="AY75" s="696">
        <v>0</v>
      </c>
    </row>
    <row r="76" spans="1:51" s="688" customFormat="1" ht="14" thickBot="1">
      <c r="A76" s="704">
        <v>36494</v>
      </c>
      <c r="B76" s="705"/>
      <c r="D76" s="688">
        <v>5670</v>
      </c>
      <c r="F76" s="689">
        <v>44918</v>
      </c>
      <c r="G76" s="689">
        <f t="shared" si="33"/>
        <v>309854</v>
      </c>
      <c r="H76" s="689"/>
      <c r="I76" s="689">
        <v>17148</v>
      </c>
      <c r="J76" s="689">
        <f t="shared" si="6"/>
        <v>352093</v>
      </c>
      <c r="K76" s="689"/>
      <c r="L76" s="689">
        <v>68225</v>
      </c>
      <c r="M76" s="689">
        <v>2700</v>
      </c>
      <c r="N76" s="689">
        <v>-1369</v>
      </c>
      <c r="O76" s="689">
        <f t="shared" si="40"/>
        <v>69556</v>
      </c>
      <c r="P76" s="689"/>
      <c r="Q76" s="689"/>
      <c r="R76" s="689">
        <f t="shared" si="7"/>
        <v>754965</v>
      </c>
      <c r="S76" s="706">
        <f t="shared" si="28"/>
        <v>1.4851780230675562</v>
      </c>
      <c r="T76" s="689">
        <f t="shared" si="29"/>
        <v>137292</v>
      </c>
      <c r="U76" s="689">
        <v>-7784</v>
      </c>
      <c r="V76" s="687">
        <f t="shared" si="34"/>
        <v>122577.3</v>
      </c>
      <c r="W76" s="687"/>
      <c r="X76" s="689">
        <f t="shared" si="35"/>
        <v>1429845</v>
      </c>
      <c r="Z76" s="263">
        <f t="shared" si="31"/>
        <v>146445</v>
      </c>
      <c r="AA76" s="687">
        <f t="shared" si="10"/>
        <v>119153.75</v>
      </c>
      <c r="AB76" s="689">
        <f t="shared" si="30"/>
        <v>12109</v>
      </c>
      <c r="AC76" s="706">
        <f t="shared" si="11"/>
        <v>8.4687501092775789E-3</v>
      </c>
      <c r="AF76" s="689">
        <f t="shared" si="41"/>
        <v>-7784</v>
      </c>
      <c r="AG76" s="705">
        <f t="shared" si="36"/>
        <v>12109</v>
      </c>
      <c r="AH76" s="705">
        <f t="shared" si="37"/>
        <v>22711.230000000018</v>
      </c>
      <c r="AJ76" s="707">
        <f t="shared" si="32"/>
        <v>1206.1600000000035</v>
      </c>
      <c r="AK76" s="689">
        <f t="shared" si="38"/>
        <v>-8990.1600000000035</v>
      </c>
      <c r="AL76" s="708">
        <f t="shared" si="13"/>
        <v>80822976.825600058</v>
      </c>
      <c r="AM76" s="263">
        <f t="shared" si="39"/>
        <v>-10602.230000000018</v>
      </c>
      <c r="AQ76" s="688">
        <v>5670</v>
      </c>
      <c r="AR76" s="688">
        <v>44918</v>
      </c>
      <c r="AS76" s="689">
        <v>17148</v>
      </c>
      <c r="AT76" s="688">
        <v>69556</v>
      </c>
      <c r="AW76" s="709"/>
      <c r="AY76" s="688">
        <v>0</v>
      </c>
    </row>
    <row r="77" spans="1:51" s="260" customFormat="1">
      <c r="A77" s="684">
        <v>36525</v>
      </c>
      <c r="B77" s="263"/>
      <c r="D77" s="260">
        <v>-5670</v>
      </c>
      <c r="F77" s="687">
        <v>20576</v>
      </c>
      <c r="G77" s="687">
        <f t="shared" si="33"/>
        <v>296582</v>
      </c>
      <c r="H77" s="687"/>
      <c r="I77" s="687">
        <v>26306</v>
      </c>
      <c r="J77" s="687">
        <f t="shared" si="6"/>
        <v>374091</v>
      </c>
      <c r="K77" s="687"/>
      <c r="L77" s="687">
        <v>48930</v>
      </c>
      <c r="M77" s="687"/>
      <c r="N77" s="687">
        <v>-1339</v>
      </c>
      <c r="O77" s="687">
        <f t="shared" si="40"/>
        <v>47591</v>
      </c>
      <c r="P77" s="687"/>
      <c r="Q77" s="687"/>
      <c r="R77" s="687">
        <f t="shared" si="7"/>
        <v>748531</v>
      </c>
      <c r="S77" s="710">
        <f t="shared" si="28"/>
        <v>1.3864894651539708</v>
      </c>
      <c r="T77" s="687">
        <f t="shared" si="29"/>
        <v>88803</v>
      </c>
      <c r="U77" s="687">
        <v>23584</v>
      </c>
      <c r="V77" s="687">
        <f t="shared" si="34"/>
        <v>105774.15</v>
      </c>
      <c r="W77" s="687"/>
      <c r="X77" s="687">
        <f t="shared" si="35"/>
        <v>1426467</v>
      </c>
      <c r="Z77" s="263">
        <f t="shared" si="31"/>
        <v>66558</v>
      </c>
      <c r="AA77" s="687">
        <f t="shared" si="10"/>
        <v>118872.25</v>
      </c>
      <c r="AB77" s="687">
        <f t="shared" si="30"/>
        <v>29930</v>
      </c>
      <c r="AC77" s="710">
        <f t="shared" si="11"/>
        <v>2.0981908449336718E-2</v>
      </c>
      <c r="AF77" s="687">
        <f t="shared" si="41"/>
        <v>23584</v>
      </c>
      <c r="AG77" s="263">
        <f t="shared" si="36"/>
        <v>29930</v>
      </c>
      <c r="AH77" s="263">
        <f t="shared" si="37"/>
        <v>25507.690000000031</v>
      </c>
      <c r="AJ77" s="711">
        <f t="shared" si="32"/>
        <v>-14978.609999999993</v>
      </c>
      <c r="AK77" s="687">
        <f t="shared" si="38"/>
        <v>38562.609999999993</v>
      </c>
      <c r="AL77" s="712">
        <f t="shared" si="13"/>
        <v>1487074890.0120995</v>
      </c>
      <c r="AM77" s="263">
        <f t="shared" si="39"/>
        <v>4422.3099999999686</v>
      </c>
      <c r="AQ77" s="260">
        <v>-5670</v>
      </c>
      <c r="AR77" s="260">
        <v>20576</v>
      </c>
      <c r="AS77" s="687">
        <v>26306</v>
      </c>
      <c r="AT77" s="260">
        <v>47591</v>
      </c>
      <c r="AW77" s="713"/>
      <c r="AY77" s="260">
        <v>0</v>
      </c>
    </row>
    <row r="78" spans="1:51" s="260" customFormat="1">
      <c r="A78" s="684">
        <v>36556</v>
      </c>
      <c r="B78" s="263"/>
      <c r="D78" s="260">
        <v>17867</v>
      </c>
      <c r="F78" s="687">
        <v>9532</v>
      </c>
      <c r="G78" s="687">
        <f t="shared" si="33"/>
        <v>283848</v>
      </c>
      <c r="H78" s="687"/>
      <c r="I78" s="687">
        <v>9970</v>
      </c>
      <c r="J78" s="687">
        <f t="shared" si="6"/>
        <v>378050</v>
      </c>
      <c r="K78" s="687"/>
      <c r="L78" s="687">
        <v>53082</v>
      </c>
      <c r="M78" s="687"/>
      <c r="N78" s="687"/>
      <c r="O78" s="687">
        <f t="shared" si="40"/>
        <v>53082</v>
      </c>
      <c r="P78" s="687"/>
      <c r="Q78" s="687"/>
      <c r="R78" s="687">
        <f t="shared" si="7"/>
        <v>779109</v>
      </c>
      <c r="S78" s="710">
        <f t="shared" si="28"/>
        <v>1.4763373764285213</v>
      </c>
      <c r="T78" s="687">
        <f t="shared" si="29"/>
        <v>90451</v>
      </c>
      <c r="U78" s="687">
        <v>10889</v>
      </c>
      <c r="V78" s="687">
        <f t="shared" si="34"/>
        <v>89874.2</v>
      </c>
      <c r="W78" s="687"/>
      <c r="X78" s="687">
        <f t="shared" si="35"/>
        <v>1411639</v>
      </c>
      <c r="Z78" s="263">
        <f t="shared" si="31"/>
        <v>79562</v>
      </c>
      <c r="AA78" s="687">
        <f t="shared" si="10"/>
        <v>117636.58333333333</v>
      </c>
      <c r="AB78" s="687">
        <f t="shared" si="30"/>
        <v>46658</v>
      </c>
      <c r="AC78" s="710">
        <f t="shared" si="11"/>
        <v>3.3052359703861965E-2</v>
      </c>
      <c r="AF78" s="687">
        <f t="shared" si="41"/>
        <v>10889</v>
      </c>
      <c r="AG78" s="263">
        <f t="shared" si="36"/>
        <v>46658</v>
      </c>
      <c r="AH78" s="263">
        <f t="shared" si="37"/>
        <v>55766.370000000032</v>
      </c>
      <c r="AJ78" s="711">
        <f t="shared" si="32"/>
        <v>-16047.54</v>
      </c>
      <c r="AK78" s="687">
        <f t="shared" si="38"/>
        <v>26936.54</v>
      </c>
      <c r="AL78" s="712">
        <f t="shared" si="13"/>
        <v>725577187.1716001</v>
      </c>
      <c r="AM78" s="263">
        <f t="shared" si="39"/>
        <v>-9108.3700000000244</v>
      </c>
      <c r="AQ78" s="260">
        <v>17867</v>
      </c>
      <c r="AR78" s="260">
        <v>9532</v>
      </c>
      <c r="AS78" s="687">
        <v>9970</v>
      </c>
      <c r="AT78" s="260">
        <v>53082</v>
      </c>
      <c r="AV78" s="713"/>
      <c r="AY78" s="260">
        <v>0</v>
      </c>
    </row>
    <row r="79" spans="1:51" s="260" customFormat="1">
      <c r="A79" s="684">
        <v>36585</v>
      </c>
      <c r="B79" s="263"/>
      <c r="D79" s="260">
        <v>-15013</v>
      </c>
      <c r="F79" s="687">
        <v>3827</v>
      </c>
      <c r="G79" s="687">
        <f t="shared" si="33"/>
        <v>279368</v>
      </c>
      <c r="H79" s="687"/>
      <c r="I79" s="687">
        <v>7391</v>
      </c>
      <c r="J79" s="687">
        <f t="shared" si="6"/>
        <v>325329</v>
      </c>
      <c r="K79" s="687"/>
      <c r="L79" s="687">
        <v>57120</v>
      </c>
      <c r="M79" s="687"/>
      <c r="N79" s="687"/>
      <c r="O79" s="687">
        <f t="shared" si="40"/>
        <v>57120</v>
      </c>
      <c r="P79" s="687"/>
      <c r="Q79" s="687"/>
      <c r="R79" s="687">
        <f t="shared" si="7"/>
        <v>767964</v>
      </c>
      <c r="S79" s="710">
        <f t="shared" si="28"/>
        <v>1.331777208200525</v>
      </c>
      <c r="T79" s="687">
        <f t="shared" si="29"/>
        <v>53325</v>
      </c>
      <c r="U79" s="687">
        <v>-24360</v>
      </c>
      <c r="V79" s="687">
        <f t="shared" si="34"/>
        <v>66319.100000000006</v>
      </c>
      <c r="W79" s="687"/>
      <c r="X79" s="687">
        <f t="shared" si="35"/>
        <v>1355638</v>
      </c>
      <c r="Z79" s="263">
        <f t="shared" si="31"/>
        <v>77685</v>
      </c>
      <c r="AA79" s="687">
        <f t="shared" si="10"/>
        <v>112969.83333333333</v>
      </c>
      <c r="AB79" s="687">
        <f t="shared" si="30"/>
        <v>20800</v>
      </c>
      <c r="AC79" s="710">
        <f t="shared" si="11"/>
        <v>1.5343329118835559E-2</v>
      </c>
      <c r="AF79" s="687">
        <f t="shared" si="41"/>
        <v>-24360</v>
      </c>
      <c r="AG79" s="263">
        <f t="shared" si="36"/>
        <v>20800</v>
      </c>
      <c r="AH79" s="263">
        <f t="shared" si="37"/>
        <v>21149.86000000003</v>
      </c>
      <c r="AJ79" s="711">
        <f t="shared" si="32"/>
        <v>-13478.539999999994</v>
      </c>
      <c r="AK79" s="687">
        <f t="shared" si="38"/>
        <v>-10881.460000000006</v>
      </c>
      <c r="AL79" s="712">
        <f t="shared" si="13"/>
        <v>118406171.73160014</v>
      </c>
      <c r="AM79" s="263">
        <f t="shared" si="39"/>
        <v>-349.86000000002969</v>
      </c>
      <c r="AQ79" s="260">
        <v>-15013</v>
      </c>
      <c r="AR79" s="260">
        <v>3827</v>
      </c>
      <c r="AS79" s="687">
        <v>7391</v>
      </c>
      <c r="AT79" s="260">
        <v>57120</v>
      </c>
      <c r="AY79" s="260">
        <v>0</v>
      </c>
    </row>
    <row r="80" spans="1:51" s="260" customFormat="1">
      <c r="A80" s="684">
        <v>36616</v>
      </c>
      <c r="B80" s="263"/>
      <c r="D80" s="260">
        <v>13706</v>
      </c>
      <c r="F80" s="687">
        <v>0</v>
      </c>
      <c r="G80" s="687">
        <f t="shared" si="33"/>
        <v>272636</v>
      </c>
      <c r="H80" s="687"/>
      <c r="I80" s="687">
        <v>1075</v>
      </c>
      <c r="J80" s="687">
        <f t="shared" ref="J80:J136" si="42">SUM(I69:I80)</f>
        <v>277496</v>
      </c>
      <c r="K80" s="687"/>
      <c r="L80" s="687">
        <v>40075</v>
      </c>
      <c r="M80" s="687"/>
      <c r="N80" s="687"/>
      <c r="O80" s="687">
        <f t="shared" si="40"/>
        <v>40075</v>
      </c>
      <c r="P80" s="687"/>
      <c r="Q80" s="687"/>
      <c r="R80" s="687">
        <f t="shared" ref="R80:R91" si="43">SUM(O69:O80)</f>
        <v>758754</v>
      </c>
      <c r="S80" s="710">
        <f t="shared" si="28"/>
        <v>1.3301602494990559</v>
      </c>
      <c r="T80" s="687">
        <f t="shared" si="29"/>
        <v>54856</v>
      </c>
      <c r="U80" s="687">
        <v>-23566</v>
      </c>
      <c r="V80" s="687">
        <f t="shared" si="34"/>
        <v>54320.15</v>
      </c>
      <c r="W80" s="687"/>
      <c r="X80" s="687">
        <f t="shared" si="35"/>
        <v>1269044</v>
      </c>
      <c r="Z80" s="263">
        <f t="shared" si="31"/>
        <v>78422</v>
      </c>
      <c r="AA80" s="687">
        <f t="shared" si="10"/>
        <v>105753.66666666667</v>
      </c>
      <c r="AB80" s="687">
        <f t="shared" si="30"/>
        <v>-7095</v>
      </c>
      <c r="AC80" s="710">
        <f t="shared" si="11"/>
        <v>-5.5908226980309591E-3</v>
      </c>
      <c r="AF80" s="687">
        <f t="shared" si="41"/>
        <v>-23566</v>
      </c>
      <c r="AG80" s="263">
        <f t="shared" si="36"/>
        <v>-7095</v>
      </c>
      <c r="AH80" s="263">
        <f t="shared" si="37"/>
        <v>-9418.6199999999662</v>
      </c>
      <c r="AJ80" s="711">
        <f t="shared" si="32"/>
        <v>-32235.75</v>
      </c>
      <c r="AK80" s="687">
        <f t="shared" si="38"/>
        <v>8669.75</v>
      </c>
      <c r="AL80" s="712">
        <f t="shared" si="13"/>
        <v>75164565.0625</v>
      </c>
      <c r="AM80" s="263">
        <f t="shared" si="39"/>
        <v>2323.6199999999735</v>
      </c>
      <c r="AQ80" s="260">
        <v>13706</v>
      </c>
      <c r="AR80" s="260">
        <v>0</v>
      </c>
      <c r="AS80" s="687">
        <v>1075</v>
      </c>
      <c r="AT80" s="260">
        <v>40075</v>
      </c>
      <c r="AW80" s="713"/>
      <c r="AY80" s="260">
        <v>0</v>
      </c>
    </row>
    <row r="81" spans="1:80" s="260" customFormat="1">
      <c r="A81" s="684">
        <v>36646</v>
      </c>
      <c r="B81" s="263"/>
      <c r="D81" s="260">
        <v>-897</v>
      </c>
      <c r="F81" s="687">
        <v>0</v>
      </c>
      <c r="G81" s="687">
        <f t="shared" si="33"/>
        <v>229384</v>
      </c>
      <c r="H81" s="687"/>
      <c r="I81" s="687">
        <v>24116</v>
      </c>
      <c r="J81" s="687">
        <f t="shared" si="42"/>
        <v>235152</v>
      </c>
      <c r="K81" s="687"/>
      <c r="L81" s="687">
        <v>52112</v>
      </c>
      <c r="M81" s="687"/>
      <c r="N81" s="687"/>
      <c r="O81" s="687">
        <f t="shared" si="40"/>
        <v>52112</v>
      </c>
      <c r="P81" s="687"/>
      <c r="Q81" s="687"/>
      <c r="R81" s="687">
        <f t="shared" si="43"/>
        <v>727537</v>
      </c>
      <c r="S81" s="710">
        <f t="shared" si="28"/>
        <v>1.2232960898551455</v>
      </c>
      <c r="T81" s="687">
        <f t="shared" si="29"/>
        <v>75331</v>
      </c>
      <c r="U81" s="687">
        <v>3743</v>
      </c>
      <c r="V81" s="687">
        <f t="shared" si="34"/>
        <v>68164.75</v>
      </c>
      <c r="W81" s="687"/>
      <c r="X81" s="687">
        <f t="shared" si="35"/>
        <v>1212303</v>
      </c>
      <c r="Z81" s="263">
        <f t="shared" si="31"/>
        <v>71588</v>
      </c>
      <c r="AA81" s="687">
        <f t="shared" ref="AA81:AA86" si="44">SUM(T70:T81)/12</f>
        <v>101025.25</v>
      </c>
      <c r="AB81" s="687">
        <f t="shared" si="30"/>
        <v>-14172</v>
      </c>
      <c r="AC81" s="710">
        <f t="shared" ref="AC81:AC124" si="45">AB81/X81</f>
        <v>-1.1690146770238134E-2</v>
      </c>
      <c r="AF81" s="687">
        <f t="shared" si="41"/>
        <v>3743</v>
      </c>
      <c r="AG81" s="263">
        <f t="shared" si="36"/>
        <v>-14172</v>
      </c>
      <c r="AH81" s="263">
        <f t="shared" si="37"/>
        <v>-57928.669999999976</v>
      </c>
      <c r="AJ81" s="711">
        <f t="shared" si="32"/>
        <v>-10442.479999999996</v>
      </c>
      <c r="AK81" s="687">
        <f t="shared" si="38"/>
        <v>14185.479999999996</v>
      </c>
      <c r="AL81" s="712">
        <f t="shared" si="13"/>
        <v>201227842.83039987</v>
      </c>
      <c r="AM81" s="263">
        <f t="shared" si="39"/>
        <v>43756.669999999976</v>
      </c>
      <c r="AQ81" s="260">
        <v>-897</v>
      </c>
      <c r="AR81" s="260">
        <v>0</v>
      </c>
      <c r="AS81" s="687">
        <v>24116</v>
      </c>
      <c r="AT81" s="260">
        <v>52112</v>
      </c>
      <c r="AV81" s="713"/>
      <c r="AY81" s="260">
        <v>0</v>
      </c>
    </row>
    <row r="82" spans="1:80" s="260" customFormat="1">
      <c r="A82" s="684">
        <v>36677</v>
      </c>
      <c r="B82" s="263"/>
      <c r="D82" s="260">
        <v>4074</v>
      </c>
      <c r="F82" s="687">
        <v>10269</v>
      </c>
      <c r="G82" s="687">
        <f t="shared" si="33"/>
        <v>239653</v>
      </c>
      <c r="H82" s="687"/>
      <c r="I82" s="687">
        <v>0</v>
      </c>
      <c r="J82" s="687">
        <f t="shared" si="42"/>
        <v>196695</v>
      </c>
      <c r="K82" s="687"/>
      <c r="L82" s="687">
        <v>73975</v>
      </c>
      <c r="M82" s="687"/>
      <c r="N82" s="687"/>
      <c r="O82" s="687">
        <f t="shared" si="40"/>
        <v>73975</v>
      </c>
      <c r="P82" s="687"/>
      <c r="Q82" s="687"/>
      <c r="R82" s="687">
        <f t="shared" si="43"/>
        <v>740622</v>
      </c>
      <c r="S82" s="710">
        <f t="shared" si="28"/>
        <v>1.1919140225179119</v>
      </c>
      <c r="T82" s="687">
        <f t="shared" si="29"/>
        <v>88318</v>
      </c>
      <c r="U82" s="687">
        <v>3993</v>
      </c>
      <c r="V82" s="687">
        <f t="shared" si="34"/>
        <v>83772.55</v>
      </c>
      <c r="W82" s="687"/>
      <c r="X82" s="687">
        <f t="shared" si="35"/>
        <v>1135889</v>
      </c>
      <c r="Z82" s="263">
        <f t="shared" si="31"/>
        <v>84325</v>
      </c>
      <c r="AA82" s="687">
        <f t="shared" si="44"/>
        <v>94657.416666666672</v>
      </c>
      <c r="AB82" s="687">
        <f t="shared" si="30"/>
        <v>-46183</v>
      </c>
      <c r="AC82" s="710">
        <f t="shared" si="45"/>
        <v>-4.065802204264677E-2</v>
      </c>
      <c r="AF82" s="687">
        <f t="shared" si="41"/>
        <v>3993</v>
      </c>
      <c r="AG82" s="263">
        <f t="shared" si="36"/>
        <v>-46183</v>
      </c>
      <c r="AH82" s="263">
        <f t="shared" si="37"/>
        <v>-63449.839999999982</v>
      </c>
      <c r="AJ82" s="711">
        <f t="shared" si="32"/>
        <v>-1203.25</v>
      </c>
      <c r="AK82" s="687">
        <f t="shared" si="38"/>
        <v>5196.25</v>
      </c>
      <c r="AL82" s="712">
        <f t="shared" ref="AL82:AL136" si="46">AK82^2</f>
        <v>27001014.0625</v>
      </c>
      <c r="AM82" s="263">
        <f t="shared" si="39"/>
        <v>17266.839999999982</v>
      </c>
      <c r="AQ82" s="260">
        <v>4074</v>
      </c>
      <c r="AR82" s="260">
        <v>10269</v>
      </c>
      <c r="AS82" s="687">
        <v>0</v>
      </c>
      <c r="AT82" s="260">
        <v>73975</v>
      </c>
      <c r="AY82" s="260">
        <v>0</v>
      </c>
    </row>
    <row r="83" spans="1:80" s="260" customFormat="1">
      <c r="A83" s="684">
        <v>36707</v>
      </c>
      <c r="B83" s="263"/>
      <c r="D83" s="260">
        <v>244</v>
      </c>
      <c r="F83" s="687">
        <v>17437</v>
      </c>
      <c r="G83" s="687">
        <f t="shared" si="33"/>
        <v>217865</v>
      </c>
      <c r="H83" s="687"/>
      <c r="I83" s="687">
        <v>9576</v>
      </c>
      <c r="J83" s="687">
        <f t="shared" si="42"/>
        <v>154132</v>
      </c>
      <c r="K83" s="687"/>
      <c r="L83" s="687">
        <v>78234</v>
      </c>
      <c r="M83" s="687"/>
      <c r="N83" s="687"/>
      <c r="O83" s="687">
        <f t="shared" si="40"/>
        <v>78234</v>
      </c>
      <c r="P83" s="687"/>
      <c r="Q83" s="687"/>
      <c r="R83" s="687">
        <f t="shared" si="43"/>
        <v>740877</v>
      </c>
      <c r="S83" s="710">
        <f t="shared" si="28"/>
        <v>1.1377400822810178</v>
      </c>
      <c r="T83" s="687">
        <f t="shared" si="29"/>
        <v>105491</v>
      </c>
      <c r="U83" s="687">
        <v>21424</v>
      </c>
      <c r="V83" s="687">
        <f t="shared" si="34"/>
        <v>99480.450000000012</v>
      </c>
      <c r="W83" s="687"/>
      <c r="X83" s="687">
        <f t="shared" si="35"/>
        <v>1125789</v>
      </c>
      <c r="Z83" s="263">
        <f t="shared" si="31"/>
        <v>84067</v>
      </c>
      <c r="AA83" s="687">
        <f t="shared" si="44"/>
        <v>93815.75</v>
      </c>
      <c r="AB83" s="687">
        <f t="shared" si="30"/>
        <v>-11646</v>
      </c>
      <c r="AC83" s="710">
        <f t="shared" si="45"/>
        <v>-1.0344744885586909E-2</v>
      </c>
      <c r="AF83" s="687">
        <f t="shared" si="41"/>
        <v>21424</v>
      </c>
      <c r="AG83" s="263">
        <f t="shared" si="36"/>
        <v>-11646</v>
      </c>
      <c r="AH83" s="263">
        <f t="shared" si="37"/>
        <v>-82791.669999999969</v>
      </c>
      <c r="AJ83" s="711">
        <f t="shared" si="32"/>
        <v>7162.5800000000163</v>
      </c>
      <c r="AK83" s="687">
        <f t="shared" si="38"/>
        <v>14261.419999999984</v>
      </c>
      <c r="AL83" s="712">
        <f t="shared" si="46"/>
        <v>203388100.41639954</v>
      </c>
      <c r="AM83" s="263">
        <f t="shared" si="39"/>
        <v>71145.669999999969</v>
      </c>
      <c r="AQ83" s="260">
        <v>244</v>
      </c>
      <c r="AR83" s="260">
        <v>17437</v>
      </c>
      <c r="AS83" s="687">
        <v>9576</v>
      </c>
      <c r="AT83" s="260">
        <v>78234</v>
      </c>
      <c r="AV83" s="713"/>
      <c r="AY83" s="260">
        <v>0</v>
      </c>
    </row>
    <row r="84" spans="1:80" s="260" customFormat="1">
      <c r="A84" s="684">
        <v>36738</v>
      </c>
      <c r="B84" s="263"/>
      <c r="D84" s="260">
        <v>-15772</v>
      </c>
      <c r="F84" s="687">
        <v>0</v>
      </c>
      <c r="G84" s="687">
        <f t="shared" si="33"/>
        <v>200983</v>
      </c>
      <c r="H84" s="687"/>
      <c r="I84" s="687">
        <v>16197</v>
      </c>
      <c r="J84" s="687">
        <f t="shared" si="42"/>
        <v>146886</v>
      </c>
      <c r="K84" s="687"/>
      <c r="L84" s="687">
        <v>51067</v>
      </c>
      <c r="M84" s="687"/>
      <c r="N84" s="687"/>
      <c r="O84" s="687">
        <f t="shared" si="40"/>
        <v>51067</v>
      </c>
      <c r="P84" s="687"/>
      <c r="Q84" s="687"/>
      <c r="R84" s="687">
        <f t="shared" si="43"/>
        <v>741689</v>
      </c>
      <c r="S84" s="710">
        <f>(R84/R72)</f>
        <v>1.1279291691949263</v>
      </c>
      <c r="T84" s="687">
        <f t="shared" si="29"/>
        <v>51492</v>
      </c>
      <c r="U84" s="687">
        <v>-25136</v>
      </c>
      <c r="V84" s="687">
        <f t="shared" si="34"/>
        <v>70391.649999999994</v>
      </c>
      <c r="W84" s="687"/>
      <c r="X84" s="687">
        <f t="shared" si="35"/>
        <v>1088775</v>
      </c>
      <c r="Z84" s="263">
        <f t="shared" si="31"/>
        <v>76628</v>
      </c>
      <c r="AA84" s="687">
        <f t="shared" si="44"/>
        <v>90731.25</v>
      </c>
      <c r="AB84" s="687">
        <f t="shared" si="30"/>
        <v>-18629</v>
      </c>
      <c r="AC84" s="710">
        <f t="shared" si="45"/>
        <v>-1.7110054878188789E-2</v>
      </c>
      <c r="AF84" s="687">
        <f t="shared" si="41"/>
        <v>-25136</v>
      </c>
      <c r="AG84" s="263">
        <f t="shared" si="36"/>
        <v>-18629</v>
      </c>
      <c r="AH84" s="263">
        <f t="shared" si="37"/>
        <v>-85369.669999999955</v>
      </c>
      <c r="AJ84" s="711">
        <f t="shared" si="32"/>
        <v>-15057.069999999992</v>
      </c>
      <c r="AK84" s="687">
        <f t="shared" si="38"/>
        <v>-10078.930000000008</v>
      </c>
      <c r="AL84" s="712">
        <f t="shared" si="46"/>
        <v>101584829.94490016</v>
      </c>
      <c r="AM84" s="263">
        <f t="shared" si="39"/>
        <v>66740.669999999969</v>
      </c>
      <c r="AQ84" s="260">
        <v>-15772</v>
      </c>
      <c r="AR84" s="260">
        <v>0</v>
      </c>
      <c r="AS84" s="687">
        <v>16197</v>
      </c>
      <c r="AT84" s="260">
        <v>51067</v>
      </c>
      <c r="AX84" s="713"/>
      <c r="AY84" s="260">
        <v>0</v>
      </c>
    </row>
    <row r="85" spans="1:80" s="260" customFormat="1">
      <c r="A85" s="684">
        <v>36772</v>
      </c>
      <c r="B85" s="263"/>
      <c r="D85" s="260">
        <v>26225</v>
      </c>
      <c r="F85" s="687">
        <v>4932</v>
      </c>
      <c r="G85" s="687">
        <f t="shared" si="33"/>
        <v>184778</v>
      </c>
      <c r="H85" s="687"/>
      <c r="I85" s="263">
        <v>1868</v>
      </c>
      <c r="J85" s="687">
        <f t="shared" si="42"/>
        <v>131153</v>
      </c>
      <c r="K85" s="687"/>
      <c r="L85" s="260">
        <v>32443</v>
      </c>
      <c r="O85" s="687">
        <f t="shared" si="40"/>
        <v>32443</v>
      </c>
      <c r="R85" s="687">
        <f t="shared" si="43"/>
        <v>701369</v>
      </c>
      <c r="S85" s="710">
        <f>(R85/R73)</f>
        <v>1.0116793985621806</v>
      </c>
      <c r="T85" s="687">
        <f t="shared" si="29"/>
        <v>65468</v>
      </c>
      <c r="U85" s="687">
        <v>-28354</v>
      </c>
      <c r="V85" s="687">
        <f t="shared" si="34"/>
        <v>60576.4</v>
      </c>
      <c r="W85" s="687"/>
      <c r="X85" s="687">
        <f t="shared" si="35"/>
        <v>1040836</v>
      </c>
      <c r="Z85" s="263">
        <f t="shared" si="31"/>
        <v>93822</v>
      </c>
      <c r="AA85" s="687">
        <f t="shared" si="44"/>
        <v>86736.333333333328</v>
      </c>
      <c r="AB85" s="687">
        <f t="shared" si="30"/>
        <v>-48770</v>
      </c>
      <c r="AC85" s="710">
        <f t="shared" si="45"/>
        <v>-4.6856565299432378E-2</v>
      </c>
      <c r="AF85" s="687">
        <f t="shared" si="41"/>
        <v>-28354</v>
      </c>
      <c r="AG85" s="263">
        <f t="shared" si="36"/>
        <v>-48770</v>
      </c>
      <c r="AH85" s="263">
        <f t="shared" si="37"/>
        <v>-130104.44999999995</v>
      </c>
      <c r="AJ85" s="711">
        <f t="shared" si="32"/>
        <v>-38968.729999999996</v>
      </c>
      <c r="AK85" s="687">
        <f t="shared" si="38"/>
        <v>10614.729999999996</v>
      </c>
      <c r="AL85" s="712">
        <f t="shared" si="46"/>
        <v>112672492.97289991</v>
      </c>
      <c r="AM85" s="263">
        <f t="shared" si="39"/>
        <v>81334.449999999953</v>
      </c>
      <c r="AQ85" s="260">
        <v>26225</v>
      </c>
      <c r="AR85" s="260">
        <v>4932</v>
      </c>
      <c r="AS85" s="260">
        <v>1868</v>
      </c>
      <c r="AT85" s="260">
        <v>32443</v>
      </c>
      <c r="AX85" s="713"/>
    </row>
    <row r="86" spans="1:80" s="260" customFormat="1">
      <c r="A86" s="684">
        <v>36802</v>
      </c>
      <c r="B86" s="263"/>
      <c r="D86" s="260">
        <v>15697</v>
      </c>
      <c r="F86" s="687">
        <v>29097</v>
      </c>
      <c r="G86" s="687">
        <f t="shared" si="33"/>
        <v>170882</v>
      </c>
      <c r="H86" s="687"/>
      <c r="I86" s="687">
        <v>2624</v>
      </c>
      <c r="J86" s="687">
        <f t="shared" si="42"/>
        <v>121959</v>
      </c>
      <c r="K86" s="687"/>
      <c r="L86" s="260">
        <v>79701</v>
      </c>
      <c r="O86" s="687">
        <f t="shared" si="40"/>
        <v>79701</v>
      </c>
      <c r="R86" s="687">
        <f t="shared" si="43"/>
        <v>694224</v>
      </c>
      <c r="S86" s="710">
        <f>(R86/R74)</f>
        <v>0.92344773828304783</v>
      </c>
      <c r="T86" s="687">
        <f t="shared" si="29"/>
        <v>127119</v>
      </c>
      <c r="U86" s="687">
        <v>37607</v>
      </c>
      <c r="V86" s="687">
        <f t="shared" si="34"/>
        <v>105541.15000000001</v>
      </c>
      <c r="W86" s="687"/>
      <c r="X86" s="687">
        <f t="shared" si="35"/>
        <v>1033196</v>
      </c>
      <c r="Z86" s="263">
        <f t="shared" si="31"/>
        <v>89512</v>
      </c>
      <c r="AA86" s="687">
        <f t="shared" si="44"/>
        <v>86099.666666666672</v>
      </c>
      <c r="AB86" s="687">
        <f>SUM(U75:U86)</f>
        <v>-32820</v>
      </c>
      <c r="AC86" s="710">
        <f t="shared" si="45"/>
        <v>-3.1765512061603024E-2</v>
      </c>
      <c r="AF86" s="687">
        <f t="shared" si="41"/>
        <v>37607</v>
      </c>
      <c r="AG86" s="263">
        <f t="shared" ref="AG86:AG93" si="47">SUM(AF75:AF86)</f>
        <v>-32820</v>
      </c>
      <c r="AH86" s="263">
        <f t="shared" ref="AH86:AH93" si="48">SUM(AJ75:AJ86)</f>
        <v>-140978.53999999995</v>
      </c>
      <c r="AJ86" s="711">
        <f t="shared" si="32"/>
        <v>5328.9700000000012</v>
      </c>
      <c r="AK86" s="687">
        <f t="shared" ref="AK86:AK93" si="49">AF86-AJ86</f>
        <v>32278.03</v>
      </c>
      <c r="AL86" s="712">
        <f t="shared" si="46"/>
        <v>1041871220.6809</v>
      </c>
      <c r="AM86" s="263">
        <f t="shared" si="39"/>
        <v>108158.53999999995</v>
      </c>
      <c r="AQ86" s="260">
        <v>15697</v>
      </c>
      <c r="AR86" s="260">
        <v>29097</v>
      </c>
      <c r="AS86" s="687">
        <v>2624</v>
      </c>
      <c r="AT86" s="260">
        <v>79701</v>
      </c>
      <c r="AV86" s="713"/>
    </row>
    <row r="87" spans="1:80" s="260" customFormat="1">
      <c r="A87" s="684">
        <v>36833</v>
      </c>
      <c r="B87" s="263"/>
      <c r="D87" s="260">
        <v>19818</v>
      </c>
      <c r="F87" s="687">
        <v>0</v>
      </c>
      <c r="G87" s="687">
        <f t="shared" si="33"/>
        <v>140588</v>
      </c>
      <c r="H87" s="687"/>
      <c r="I87" s="687">
        <v>5698</v>
      </c>
      <c r="J87" s="687">
        <f t="shared" si="42"/>
        <v>121969</v>
      </c>
      <c r="K87" s="687"/>
      <c r="L87" s="687">
        <v>77239</v>
      </c>
      <c r="O87" s="687">
        <f t="shared" si="40"/>
        <v>77239</v>
      </c>
      <c r="R87" s="687">
        <f t="shared" si="43"/>
        <v>712195</v>
      </c>
      <c r="S87" s="710">
        <f t="shared" ref="S87:S93" si="50">(R87/R75)</f>
        <v>0.9699532997302035</v>
      </c>
      <c r="T87" s="687">
        <f t="shared" si="29"/>
        <v>102755</v>
      </c>
      <c r="U87" s="687">
        <v>48829</v>
      </c>
      <c r="V87" s="687">
        <f t="shared" si="34"/>
        <v>111282.4</v>
      </c>
      <c r="W87" s="687"/>
      <c r="X87" s="687">
        <f t="shared" ref="X87:X94" si="51">SUM(T76:T87)</f>
        <v>1040701</v>
      </c>
      <c r="Z87" s="263">
        <f t="shared" si="31"/>
        <v>53926</v>
      </c>
      <c r="AA87" s="687">
        <f t="shared" ref="AA87:AA93" si="52">SUM(T76:T87)/12</f>
        <v>86725.083333333328</v>
      </c>
      <c r="AB87" s="687">
        <f t="shared" ref="AB87:AB93" si="53">SUM(U76:U87)</f>
        <v>40869</v>
      </c>
      <c r="AC87" s="710">
        <f t="shared" si="45"/>
        <v>3.9270645459166469E-2</v>
      </c>
      <c r="AF87" s="687">
        <f t="shared" ref="AF87:AF94" si="54">U87</f>
        <v>48829</v>
      </c>
      <c r="AG87" s="263">
        <f t="shared" si="47"/>
        <v>40869</v>
      </c>
      <c r="AH87" s="263">
        <f t="shared" si="48"/>
        <v>-124260.90999999995</v>
      </c>
      <c r="AJ87" s="711">
        <f t="shared" si="32"/>
        <v>4453.3500000000058</v>
      </c>
      <c r="AK87" s="687">
        <f t="shared" si="49"/>
        <v>44375.649999999994</v>
      </c>
      <c r="AL87" s="712">
        <f t="shared" si="46"/>
        <v>1969198312.9224994</v>
      </c>
      <c r="AM87" s="263">
        <f t="shared" ref="AM87:AM93" si="55">SUM(AK76:AK87)</f>
        <v>165129.90999999995</v>
      </c>
      <c r="AQ87" s="260">
        <v>19818</v>
      </c>
      <c r="AR87" s="260">
        <v>0</v>
      </c>
      <c r="AS87" s="687">
        <v>5698</v>
      </c>
      <c r="AT87" s="260">
        <v>77239</v>
      </c>
      <c r="AW87" s="713"/>
    </row>
    <row r="88" spans="1:80" s="688" customFormat="1" ht="14" thickBot="1">
      <c r="A88" s="704">
        <v>36863</v>
      </c>
      <c r="D88" s="688">
        <v>-46634</v>
      </c>
      <c r="F88" s="688">
        <v>9856</v>
      </c>
      <c r="G88" s="689">
        <f t="shared" si="33"/>
        <v>105526</v>
      </c>
      <c r="I88" s="705">
        <v>2716</v>
      </c>
      <c r="J88" s="689">
        <f t="shared" si="42"/>
        <v>107537</v>
      </c>
      <c r="L88" s="688">
        <v>138088</v>
      </c>
      <c r="O88" s="689">
        <f t="shared" si="40"/>
        <v>138088</v>
      </c>
      <c r="R88" s="689">
        <f t="shared" si="43"/>
        <v>780727</v>
      </c>
      <c r="S88" s="706">
        <f t="shared" si="50"/>
        <v>1.0341234361857834</v>
      </c>
      <c r="T88" s="689">
        <f t="shared" si="29"/>
        <v>104026</v>
      </c>
      <c r="U88" s="688">
        <v>-46811</v>
      </c>
      <c r="V88" s="689">
        <f t="shared" si="34"/>
        <v>103581.15000000001</v>
      </c>
      <c r="W88" s="689"/>
      <c r="X88" s="689">
        <f t="shared" si="51"/>
        <v>1007435</v>
      </c>
      <c r="Z88" s="705">
        <f t="shared" si="31"/>
        <v>150837</v>
      </c>
      <c r="AA88" s="689">
        <f t="shared" si="52"/>
        <v>83952.916666666672</v>
      </c>
      <c r="AB88" s="689">
        <f t="shared" si="53"/>
        <v>1842</v>
      </c>
      <c r="AC88" s="706">
        <f t="shared" si="45"/>
        <v>1.8284058028557673E-3</v>
      </c>
      <c r="AF88" s="689">
        <f t="shared" si="54"/>
        <v>-46811</v>
      </c>
      <c r="AG88" s="705">
        <f t="shared" si="47"/>
        <v>1842</v>
      </c>
      <c r="AH88" s="705">
        <f t="shared" si="48"/>
        <v>-65795.869999999937</v>
      </c>
      <c r="AJ88" s="707">
        <f t="shared" si="32"/>
        <v>59671.200000000012</v>
      </c>
      <c r="AK88" s="689">
        <f t="shared" si="49"/>
        <v>-106482.20000000001</v>
      </c>
      <c r="AL88" s="708">
        <f t="shared" si="46"/>
        <v>11338458916.840002</v>
      </c>
      <c r="AM88" s="705">
        <f t="shared" si="55"/>
        <v>67637.869999999937</v>
      </c>
      <c r="AQ88" s="688">
        <v>-46634</v>
      </c>
      <c r="AR88" s="688">
        <v>9856</v>
      </c>
      <c r="AS88" s="688">
        <v>2716</v>
      </c>
      <c r="AT88" s="688">
        <v>138088</v>
      </c>
    </row>
    <row r="89" spans="1:80" s="260" customFormat="1" ht="14" customHeight="1">
      <c r="A89" s="684">
        <v>36894</v>
      </c>
      <c r="D89" s="260">
        <v>-9832</v>
      </c>
      <c r="F89" s="260">
        <v>3754</v>
      </c>
      <c r="G89" s="687">
        <f t="shared" si="33"/>
        <v>88704</v>
      </c>
      <c r="I89" s="263">
        <v>21910</v>
      </c>
      <c r="J89" s="687">
        <f t="shared" si="42"/>
        <v>103141</v>
      </c>
      <c r="L89" s="260">
        <v>59918</v>
      </c>
      <c r="O89" s="687">
        <f t="shared" si="40"/>
        <v>59918</v>
      </c>
      <c r="R89" s="687">
        <f t="shared" si="43"/>
        <v>793054</v>
      </c>
      <c r="S89" s="710">
        <f t="shared" si="50"/>
        <v>1.0594805024775193</v>
      </c>
      <c r="T89" s="687">
        <f t="shared" si="29"/>
        <v>75750</v>
      </c>
      <c r="U89" s="260">
        <v>-11104</v>
      </c>
      <c r="V89" s="687">
        <f t="shared" si="34"/>
        <v>85646.6</v>
      </c>
      <c r="W89" s="687"/>
      <c r="X89" s="687">
        <f t="shared" si="51"/>
        <v>994382</v>
      </c>
      <c r="Z89" s="263">
        <f t="shared" si="31"/>
        <v>86854</v>
      </c>
      <c r="AA89" s="687">
        <f t="shared" si="52"/>
        <v>82865.166666666672</v>
      </c>
      <c r="AB89" s="687">
        <f t="shared" si="53"/>
        <v>-32846</v>
      </c>
      <c r="AC89" s="710">
        <f t="shared" si="45"/>
        <v>-3.3031571367945115E-2</v>
      </c>
      <c r="AF89" s="687">
        <f t="shared" si="54"/>
        <v>-11104</v>
      </c>
      <c r="AG89" s="263">
        <f t="shared" si="47"/>
        <v>-32846</v>
      </c>
      <c r="AH89" s="263">
        <f t="shared" si="48"/>
        <v>-55014.919999999947</v>
      </c>
      <c r="AJ89" s="711">
        <f t="shared" si="32"/>
        <v>-4197.6599999999962</v>
      </c>
      <c r="AK89" s="687">
        <f t="shared" si="49"/>
        <v>-6906.3400000000038</v>
      </c>
      <c r="AL89" s="712">
        <f t="shared" si="46"/>
        <v>47697532.195600055</v>
      </c>
      <c r="AM89" s="263">
        <f t="shared" si="55"/>
        <v>22168.919999999947</v>
      </c>
      <c r="AQ89" s="260">
        <v>-9832</v>
      </c>
      <c r="AR89" s="260">
        <v>3754</v>
      </c>
      <c r="AS89" s="260">
        <v>21910</v>
      </c>
      <c r="AT89" s="260">
        <v>59918</v>
      </c>
      <c r="AY89" s="260">
        <v>0</v>
      </c>
    </row>
    <row r="90" spans="1:80" s="260" customFormat="1">
      <c r="A90" s="684">
        <v>36925</v>
      </c>
      <c r="B90" s="263"/>
      <c r="D90" s="692">
        <v>21205</v>
      </c>
      <c r="F90" s="687">
        <v>0</v>
      </c>
      <c r="G90" s="687">
        <f t="shared" si="33"/>
        <v>79172</v>
      </c>
      <c r="H90" s="687"/>
      <c r="I90" s="687">
        <v>36610</v>
      </c>
      <c r="J90" s="687">
        <f t="shared" si="42"/>
        <v>129781</v>
      </c>
      <c r="K90" s="687"/>
      <c r="L90" s="692">
        <v>50172</v>
      </c>
      <c r="O90" s="687">
        <f t="shared" si="40"/>
        <v>50172</v>
      </c>
      <c r="R90" s="687">
        <f t="shared" si="43"/>
        <v>790144</v>
      </c>
      <c r="S90" s="710">
        <f t="shared" si="50"/>
        <v>1.0141636151039199</v>
      </c>
      <c r="T90" s="687">
        <f t="shared" si="29"/>
        <v>107987</v>
      </c>
      <c r="U90" s="687">
        <v>11386</v>
      </c>
      <c r="V90" s="687">
        <f t="shared" si="34"/>
        <v>96704.05</v>
      </c>
      <c r="W90" s="687"/>
      <c r="X90" s="687">
        <f t="shared" si="51"/>
        <v>1011918</v>
      </c>
      <c r="Z90" s="263">
        <f t="shared" si="31"/>
        <v>96601</v>
      </c>
      <c r="AA90" s="687">
        <f t="shared" si="52"/>
        <v>84326.5</v>
      </c>
      <c r="AB90" s="687">
        <f t="shared" si="53"/>
        <v>-32349</v>
      </c>
      <c r="AC90" s="710">
        <f t="shared" si="45"/>
        <v>-3.1968005312683435E-2</v>
      </c>
      <c r="AF90" s="687">
        <f t="shared" si="54"/>
        <v>11386</v>
      </c>
      <c r="AG90" s="263">
        <f t="shared" si="47"/>
        <v>-32349</v>
      </c>
      <c r="AH90" s="263">
        <f t="shared" si="48"/>
        <v>-45466.819999999934</v>
      </c>
      <c r="AJ90" s="711">
        <f t="shared" si="32"/>
        <v>-6499.4399999999951</v>
      </c>
      <c r="AK90" s="687">
        <f t="shared" si="49"/>
        <v>17885.439999999995</v>
      </c>
      <c r="AL90" s="712">
        <f t="shared" si="46"/>
        <v>319888963.99359983</v>
      </c>
      <c r="AM90" s="263">
        <f t="shared" si="55"/>
        <v>13117.819999999934</v>
      </c>
      <c r="AQ90" s="260">
        <v>21205</v>
      </c>
      <c r="AR90" s="260">
        <v>0</v>
      </c>
      <c r="AS90" s="687">
        <v>36610</v>
      </c>
      <c r="AT90" s="260">
        <v>50172</v>
      </c>
      <c r="AV90" s="713"/>
      <c r="AY90" s="260">
        <v>0</v>
      </c>
    </row>
    <row r="91" spans="1:80" s="260" customFormat="1">
      <c r="A91" s="684">
        <v>36953</v>
      </c>
      <c r="B91" s="263"/>
      <c r="C91" s="714"/>
      <c r="D91" s="692">
        <v>-6567</v>
      </c>
      <c r="F91" s="687">
        <v>10010</v>
      </c>
      <c r="G91" s="687">
        <f t="shared" si="33"/>
        <v>85355</v>
      </c>
      <c r="H91" s="687"/>
      <c r="I91" s="687">
        <v>26437</v>
      </c>
      <c r="J91" s="687">
        <f t="shared" si="42"/>
        <v>148827</v>
      </c>
      <c r="K91" s="687"/>
      <c r="L91" s="692">
        <v>57743</v>
      </c>
      <c r="O91" s="687">
        <f t="shared" si="40"/>
        <v>57743</v>
      </c>
      <c r="R91" s="687">
        <f t="shared" si="43"/>
        <v>790767</v>
      </c>
      <c r="S91" s="710">
        <f t="shared" si="50"/>
        <v>1.0296927980999109</v>
      </c>
      <c r="T91" s="687">
        <f t="shared" si="29"/>
        <v>87623</v>
      </c>
      <c r="U91" s="687">
        <v>-12591</v>
      </c>
      <c r="V91" s="687">
        <f t="shared" si="34"/>
        <v>94750.399999999994</v>
      </c>
      <c r="W91" s="687"/>
      <c r="X91" s="687">
        <f t="shared" si="51"/>
        <v>1046216</v>
      </c>
      <c r="Z91" s="263">
        <f t="shared" si="31"/>
        <v>100214</v>
      </c>
      <c r="AA91" s="687">
        <f t="shared" si="52"/>
        <v>87184.666666666672</v>
      </c>
      <c r="AB91" s="687">
        <f t="shared" si="53"/>
        <v>-20580</v>
      </c>
      <c r="AC91" s="710">
        <f t="shared" si="45"/>
        <v>-1.9670890141232786E-2</v>
      </c>
      <c r="AF91" s="687">
        <f t="shared" si="54"/>
        <v>-12591</v>
      </c>
      <c r="AG91" s="263">
        <f t="shared" si="47"/>
        <v>-20580</v>
      </c>
      <c r="AH91" s="263">
        <f t="shared" si="48"/>
        <v>-36126.269999999931</v>
      </c>
      <c r="AJ91" s="711">
        <f t="shared" si="32"/>
        <v>-4137.9899999999907</v>
      </c>
      <c r="AK91" s="687">
        <f t="shared" si="49"/>
        <v>-8453.0100000000093</v>
      </c>
      <c r="AL91" s="712">
        <f t="shared" si="46"/>
        <v>71453378.060100153</v>
      </c>
      <c r="AM91" s="263">
        <f t="shared" si="55"/>
        <v>15546.269999999931</v>
      </c>
      <c r="AQ91" s="260">
        <v>-6567</v>
      </c>
      <c r="AR91" s="260">
        <v>10010</v>
      </c>
      <c r="AS91" s="687">
        <v>26437</v>
      </c>
      <c r="AT91" s="260">
        <v>57743</v>
      </c>
      <c r="AY91" s="260">
        <v>0</v>
      </c>
    </row>
    <row r="92" spans="1:80" s="260" customFormat="1">
      <c r="A92" s="684">
        <v>36984</v>
      </c>
      <c r="B92" s="263"/>
      <c r="C92" s="714"/>
      <c r="D92" s="692">
        <v>52715</v>
      </c>
      <c r="F92" s="687">
        <v>0</v>
      </c>
      <c r="G92" s="687">
        <f t="shared" si="33"/>
        <v>85355</v>
      </c>
      <c r="H92" s="687"/>
      <c r="I92" s="687">
        <v>10493</v>
      </c>
      <c r="J92" s="687">
        <f t="shared" si="42"/>
        <v>158245</v>
      </c>
      <c r="K92" s="687"/>
      <c r="L92" s="692">
        <v>29767</v>
      </c>
      <c r="O92" s="687">
        <f t="shared" si="40"/>
        <v>29767</v>
      </c>
      <c r="R92" s="687">
        <f>SUM(O81:O92)</f>
        <v>780459</v>
      </c>
      <c r="S92" s="710">
        <f t="shared" si="50"/>
        <v>1.0286061094900323</v>
      </c>
      <c r="T92" s="687">
        <f t="shared" si="29"/>
        <v>92975</v>
      </c>
      <c r="U92" s="687">
        <v>2105</v>
      </c>
      <c r="V92" s="687">
        <f t="shared" si="34"/>
        <v>91101.8</v>
      </c>
      <c r="W92" s="687"/>
      <c r="X92" s="687">
        <f t="shared" si="51"/>
        <v>1084335</v>
      </c>
      <c r="Z92" s="263">
        <f t="shared" si="31"/>
        <v>90870</v>
      </c>
      <c r="AA92" s="687">
        <f t="shared" si="52"/>
        <v>90361.25</v>
      </c>
      <c r="AB92" s="687">
        <f t="shared" si="53"/>
        <v>5091</v>
      </c>
      <c r="AC92" s="710">
        <f t="shared" si="45"/>
        <v>4.6950435059275961E-3</v>
      </c>
      <c r="AF92" s="687">
        <f t="shared" si="54"/>
        <v>2105</v>
      </c>
      <c r="AG92" s="263">
        <f t="shared" si="47"/>
        <v>5091</v>
      </c>
      <c r="AH92" s="263">
        <f t="shared" si="48"/>
        <v>-41380.429999999935</v>
      </c>
      <c r="AJ92" s="711">
        <f t="shared" si="32"/>
        <v>-37489.910000000003</v>
      </c>
      <c r="AK92" s="687">
        <f t="shared" si="49"/>
        <v>39594.910000000003</v>
      </c>
      <c r="AL92" s="712">
        <f t="shared" si="46"/>
        <v>1567756897.9081004</v>
      </c>
      <c r="AM92" s="263">
        <f t="shared" si="55"/>
        <v>46471.429999999935</v>
      </c>
      <c r="AQ92" s="260">
        <v>52715</v>
      </c>
      <c r="AR92" s="260">
        <v>0</v>
      </c>
      <c r="AS92" s="687">
        <v>10493</v>
      </c>
      <c r="AT92" s="260">
        <v>29767</v>
      </c>
      <c r="AW92" s="713"/>
      <c r="AY92" s="260">
        <v>0</v>
      </c>
      <c r="CA92" s="260" t="s">
        <v>640</v>
      </c>
      <c r="CB92" s="260" t="s">
        <v>1457</v>
      </c>
    </row>
    <row r="93" spans="1:80" s="260" customFormat="1" ht="14" thickBot="1">
      <c r="A93" s="684">
        <v>37014</v>
      </c>
      <c r="B93" s="263">
        <v>334611</v>
      </c>
      <c r="C93" s="715">
        <f>B93/X93*365</f>
        <v>106.59265817879685</v>
      </c>
      <c r="D93" s="716">
        <v>8801</v>
      </c>
      <c r="F93" s="687">
        <v>0</v>
      </c>
      <c r="G93" s="687">
        <f t="shared" si="33"/>
        <v>85355</v>
      </c>
      <c r="H93" s="687"/>
      <c r="I93" s="687">
        <v>58678</v>
      </c>
      <c r="J93" s="687">
        <f t="shared" si="42"/>
        <v>192807</v>
      </c>
      <c r="K93" s="687"/>
      <c r="L93" s="692">
        <v>67568</v>
      </c>
      <c r="N93" s="260">
        <v>1741</v>
      </c>
      <c r="O93" s="687">
        <f t="shared" si="40"/>
        <v>69309</v>
      </c>
      <c r="R93" s="687">
        <f>SUM(O82:O93)</f>
        <v>797656</v>
      </c>
      <c r="S93" s="710">
        <f t="shared" si="50"/>
        <v>1.0963786034249805</v>
      </c>
      <c r="T93" s="687">
        <f t="shared" si="29"/>
        <v>136788</v>
      </c>
      <c r="U93" s="687">
        <v>45916</v>
      </c>
      <c r="V93" s="687">
        <f t="shared" si="34"/>
        <v>121453.45</v>
      </c>
      <c r="W93" s="687"/>
      <c r="X93" s="687">
        <f t="shared" si="51"/>
        <v>1145792</v>
      </c>
      <c r="Z93" s="263">
        <f t="shared" si="31"/>
        <v>89131</v>
      </c>
      <c r="AA93" s="687">
        <f t="shared" si="52"/>
        <v>95482.666666666672</v>
      </c>
      <c r="AB93" s="687">
        <f t="shared" si="53"/>
        <v>47264</v>
      </c>
      <c r="AC93" s="710">
        <f t="shared" si="45"/>
        <v>4.1250069820700438E-2</v>
      </c>
      <c r="AF93" s="687">
        <f t="shared" si="54"/>
        <v>45916</v>
      </c>
      <c r="AG93" s="263">
        <f t="shared" si="47"/>
        <v>47264</v>
      </c>
      <c r="AH93" s="263">
        <f t="shared" si="48"/>
        <v>-7747.6999999999316</v>
      </c>
      <c r="AJ93" s="711">
        <f t="shared" si="32"/>
        <v>23190.250000000007</v>
      </c>
      <c r="AK93" s="687">
        <f t="shared" si="49"/>
        <v>22725.749999999993</v>
      </c>
      <c r="AL93" s="712">
        <f t="shared" si="46"/>
        <v>516459713.06249964</v>
      </c>
      <c r="AM93" s="263">
        <f t="shared" si="55"/>
        <v>55011.699999999932</v>
      </c>
      <c r="AQ93" s="260">
        <v>8801</v>
      </c>
      <c r="AR93" s="260">
        <v>0</v>
      </c>
      <c r="AS93" s="687">
        <v>58678</v>
      </c>
      <c r="AT93" s="260">
        <v>69309</v>
      </c>
      <c r="AV93" s="713"/>
      <c r="AY93" s="260">
        <v>0</v>
      </c>
    </row>
    <row r="94" spans="1:80" s="260" customFormat="1" ht="14" thickTop="1">
      <c r="A94" s="684">
        <v>37045</v>
      </c>
      <c r="B94" s="263">
        <v>317992</v>
      </c>
      <c r="C94" s="715">
        <f>B94/X94*365</f>
        <v>99.393263661244291</v>
      </c>
      <c r="D94" s="260">
        <v>48331</v>
      </c>
      <c r="F94" s="260">
        <v>0</v>
      </c>
      <c r="G94" s="687">
        <f t="shared" si="33"/>
        <v>75086</v>
      </c>
      <c r="H94" s="687"/>
      <c r="I94" s="687">
        <v>446</v>
      </c>
      <c r="J94" s="687">
        <f t="shared" si="42"/>
        <v>193253</v>
      </c>
      <c r="K94" s="687"/>
      <c r="L94" s="260">
        <v>61505</v>
      </c>
      <c r="O94" s="687">
        <f t="shared" si="40"/>
        <v>61505</v>
      </c>
      <c r="R94" s="687">
        <f>SUM(O83:O94)</f>
        <v>785186</v>
      </c>
      <c r="S94" s="710">
        <f>(R94/R82)</f>
        <v>1.0601710454185806</v>
      </c>
      <c r="T94" s="687">
        <f t="shared" si="29"/>
        <v>110282</v>
      </c>
      <c r="U94" s="260">
        <v>-23135</v>
      </c>
      <c r="V94" s="687">
        <f t="shared" si="34"/>
        <v>119559.1</v>
      </c>
      <c r="W94" s="687"/>
      <c r="X94" s="687">
        <f t="shared" si="51"/>
        <v>1167756</v>
      </c>
      <c r="Z94" s="263">
        <f t="shared" si="31"/>
        <v>133417</v>
      </c>
      <c r="AA94" s="687">
        <f>SUM(T83:T94)/12</f>
        <v>97313</v>
      </c>
      <c r="AB94" s="687">
        <f>SUM(U83:U94)</f>
        <v>20136</v>
      </c>
      <c r="AC94" s="710">
        <f t="shared" si="45"/>
        <v>1.7243328229527403E-2</v>
      </c>
      <c r="AF94" s="687">
        <f t="shared" si="54"/>
        <v>-23135</v>
      </c>
      <c r="AG94" s="263">
        <f>SUM(AF83:AF94)</f>
        <v>20136</v>
      </c>
      <c r="AH94" s="263">
        <f>SUM(AJ83:AJ94)</f>
        <v>-19139.639999999927</v>
      </c>
      <c r="AJ94" s="711">
        <f t="shared" si="32"/>
        <v>-12595.189999999995</v>
      </c>
      <c r="AK94" s="687">
        <f>AF94-AJ94</f>
        <v>-10539.810000000005</v>
      </c>
      <c r="AL94" s="712">
        <f t="shared" si="46"/>
        <v>111087594.8361001</v>
      </c>
      <c r="AM94" s="263">
        <f>SUM(AK83:AK94)</f>
        <v>39275.639999999927</v>
      </c>
      <c r="AQ94" s="260">
        <v>48331</v>
      </c>
      <c r="AR94" s="260">
        <v>0</v>
      </c>
      <c r="AS94" s="687">
        <v>446</v>
      </c>
      <c r="AT94" s="260">
        <v>61505</v>
      </c>
      <c r="AX94" s="713"/>
    </row>
    <row r="95" spans="1:80" s="260" customFormat="1">
      <c r="A95" s="684">
        <v>37075</v>
      </c>
      <c r="B95" s="263"/>
      <c r="C95" s="714"/>
      <c r="D95" s="260">
        <v>21860</v>
      </c>
      <c r="F95" s="260">
        <v>31504</v>
      </c>
      <c r="G95" s="687">
        <f t="shared" si="33"/>
        <v>89153</v>
      </c>
      <c r="I95" s="749">
        <v>21613</v>
      </c>
      <c r="J95" s="687">
        <f t="shared" si="42"/>
        <v>205290</v>
      </c>
      <c r="K95" s="690">
        <v>-41391</v>
      </c>
      <c r="L95" s="690">
        <v>66203</v>
      </c>
      <c r="O95" s="687">
        <f t="shared" si="40"/>
        <v>66203</v>
      </c>
      <c r="P95" s="690">
        <v>68221</v>
      </c>
      <c r="R95" s="687">
        <f t="shared" ref="R95:R101" si="56">SUM(O84:O95)</f>
        <v>773155</v>
      </c>
      <c r="S95" s="710">
        <f t="shared" ref="S95:S101" si="57">(R95/R83)</f>
        <v>1.0435672857977776</v>
      </c>
      <c r="T95" s="687">
        <f t="shared" ref="T95:T101" si="58">D95+E95+F95+I95+O95</f>
        <v>141180</v>
      </c>
      <c r="U95" s="260">
        <v>53265</v>
      </c>
      <c r="V95" s="687">
        <f t="shared" si="34"/>
        <v>130365.7</v>
      </c>
      <c r="W95" s="687"/>
      <c r="X95" s="687">
        <f t="shared" ref="X95:X101" si="59">SUM(T84:T95)</f>
        <v>1203445</v>
      </c>
      <c r="Z95" s="263">
        <f t="shared" si="31"/>
        <v>87915</v>
      </c>
      <c r="AA95" s="687">
        <f t="shared" ref="AA95:AA101" si="60">SUM(T84:T95)/12</f>
        <v>100287.08333333333</v>
      </c>
      <c r="AB95" s="687">
        <f t="shared" ref="AB95:AB101" si="61">SUM(U84:U95)</f>
        <v>51977</v>
      </c>
      <c r="AC95" s="710">
        <f t="shared" si="45"/>
        <v>4.3190174872968855E-2</v>
      </c>
      <c r="AF95" s="687">
        <f t="shared" ref="AF95:AF101" si="62">U95</f>
        <v>53265</v>
      </c>
      <c r="AG95" s="263">
        <f t="shared" ref="AG95:AG101" si="63">SUM(AF84:AF95)</f>
        <v>51977</v>
      </c>
      <c r="AH95" s="263">
        <f t="shared" ref="AH95:AH101" si="64">SUM(AJ84:AJ95)</f>
        <v>-24791.449999999946</v>
      </c>
      <c r="AJ95" s="711">
        <f t="shared" si="32"/>
        <v>1510.7699999999968</v>
      </c>
      <c r="AK95" s="687">
        <f t="shared" ref="AK95:AK101" si="65">AF95-AJ95</f>
        <v>51754.23</v>
      </c>
      <c r="AL95" s="712">
        <f t="shared" si="46"/>
        <v>2678500322.8929005</v>
      </c>
      <c r="AM95" s="263">
        <f t="shared" ref="AM95:AM101" si="66">SUM(AK84:AK95)</f>
        <v>76768.449999999953</v>
      </c>
      <c r="AQ95" s="260">
        <v>21860</v>
      </c>
      <c r="AR95" s="260">
        <v>31504</v>
      </c>
      <c r="AS95" s="690">
        <v>21613</v>
      </c>
      <c r="AT95" s="260">
        <v>66203</v>
      </c>
      <c r="AX95" s="713"/>
    </row>
    <row r="96" spans="1:80" s="260" customFormat="1">
      <c r="A96" s="684">
        <v>37106</v>
      </c>
      <c r="D96" s="260">
        <v>-60186</v>
      </c>
      <c r="F96" s="260">
        <v>86310</v>
      </c>
      <c r="G96" s="687">
        <f t="shared" si="33"/>
        <v>175463</v>
      </c>
      <c r="I96" s="687">
        <v>10126</v>
      </c>
      <c r="J96" s="687">
        <f t="shared" si="42"/>
        <v>199219</v>
      </c>
      <c r="L96" s="260">
        <v>63635</v>
      </c>
      <c r="O96" s="687">
        <f t="shared" si="40"/>
        <v>63635</v>
      </c>
      <c r="R96" s="687">
        <f t="shared" si="56"/>
        <v>785723</v>
      </c>
      <c r="S96" s="710">
        <f t="shared" si="57"/>
        <v>1.0593698976255546</v>
      </c>
      <c r="T96" s="687">
        <f t="shared" si="58"/>
        <v>99885</v>
      </c>
      <c r="U96" s="260">
        <v>-35841</v>
      </c>
      <c r="V96" s="687">
        <f t="shared" si="34"/>
        <v>114338.25</v>
      </c>
      <c r="W96" s="687"/>
      <c r="X96" s="687">
        <f t="shared" si="59"/>
        <v>1251838</v>
      </c>
      <c r="Z96" s="263">
        <f t="shared" si="31"/>
        <v>135726</v>
      </c>
      <c r="AA96" s="687">
        <f t="shared" si="60"/>
        <v>104319.83333333333</v>
      </c>
      <c r="AB96" s="687">
        <f t="shared" si="61"/>
        <v>41272</v>
      </c>
      <c r="AC96" s="710">
        <f t="shared" si="45"/>
        <v>3.2969122202713128E-2</v>
      </c>
      <c r="AF96" s="687">
        <f t="shared" si="62"/>
        <v>-35841</v>
      </c>
      <c r="AG96" s="263">
        <f t="shared" si="63"/>
        <v>41272</v>
      </c>
      <c r="AH96" s="263">
        <f t="shared" si="64"/>
        <v>-15895.869999999952</v>
      </c>
      <c r="AJ96" s="711">
        <f t="shared" si="32"/>
        <v>-6161.489999999998</v>
      </c>
      <c r="AK96" s="687">
        <f t="shared" si="65"/>
        <v>-29679.510000000002</v>
      </c>
      <c r="AL96" s="712">
        <f t="shared" si="46"/>
        <v>880873313.84010017</v>
      </c>
      <c r="AM96" s="263">
        <f t="shared" si="66"/>
        <v>57167.869999999944</v>
      </c>
      <c r="AQ96" s="260">
        <v>-60186</v>
      </c>
      <c r="AR96" s="260">
        <v>86310</v>
      </c>
      <c r="AS96" s="687">
        <v>10126</v>
      </c>
      <c r="AT96" s="260">
        <v>63635</v>
      </c>
    </row>
    <row r="97" spans="1:51" s="260" customFormat="1">
      <c r="A97" s="684">
        <v>37137</v>
      </c>
      <c r="D97" s="260">
        <v>113656</v>
      </c>
      <c r="F97" s="260">
        <v>0</v>
      </c>
      <c r="G97" s="687">
        <f t="shared" si="33"/>
        <v>170531</v>
      </c>
      <c r="I97" s="263">
        <v>4910</v>
      </c>
      <c r="J97" s="687">
        <f t="shared" si="42"/>
        <v>202261</v>
      </c>
      <c r="L97" s="260">
        <v>70570</v>
      </c>
      <c r="O97" s="687">
        <f t="shared" si="40"/>
        <v>70570</v>
      </c>
      <c r="R97" s="687">
        <f t="shared" si="56"/>
        <v>823850</v>
      </c>
      <c r="S97" s="710">
        <f t="shared" si="57"/>
        <v>1.1746313281596421</v>
      </c>
      <c r="T97" s="687">
        <f t="shared" si="58"/>
        <v>189136</v>
      </c>
      <c r="U97" s="260">
        <v>55871</v>
      </c>
      <c r="V97" s="687">
        <f t="shared" si="34"/>
        <v>157898.15000000002</v>
      </c>
      <c r="W97" s="687"/>
      <c r="X97" s="687">
        <f t="shared" si="59"/>
        <v>1375506</v>
      </c>
      <c r="Z97" s="263">
        <f t="shared" si="31"/>
        <v>133265</v>
      </c>
      <c r="AA97" s="687">
        <f t="shared" si="60"/>
        <v>114625.5</v>
      </c>
      <c r="AB97" s="687">
        <f t="shared" si="61"/>
        <v>125497</v>
      </c>
      <c r="AC97" s="710">
        <f t="shared" si="45"/>
        <v>9.1236970249493635E-2</v>
      </c>
      <c r="AF97" s="687">
        <f t="shared" si="62"/>
        <v>55871</v>
      </c>
      <c r="AG97" s="263">
        <f t="shared" si="63"/>
        <v>125497</v>
      </c>
      <c r="AH97" s="263">
        <f t="shared" si="64"/>
        <v>20961.560000000056</v>
      </c>
      <c r="AJ97" s="711">
        <f t="shared" si="32"/>
        <v>-2111.2999999999884</v>
      </c>
      <c r="AK97" s="687">
        <f t="shared" si="65"/>
        <v>57982.299999999988</v>
      </c>
      <c r="AL97" s="712">
        <f t="shared" si="46"/>
        <v>3361947113.2899985</v>
      </c>
      <c r="AM97" s="263">
        <f t="shared" si="66"/>
        <v>104535.43999999994</v>
      </c>
      <c r="AQ97" s="260">
        <v>113656</v>
      </c>
      <c r="AR97" s="260">
        <v>0</v>
      </c>
      <c r="AS97" s="260">
        <v>4910</v>
      </c>
      <c r="AT97" s="260">
        <v>70570</v>
      </c>
    </row>
    <row r="98" spans="1:51" s="260" customFormat="1">
      <c r="A98" s="684">
        <v>37167</v>
      </c>
      <c r="D98" s="260">
        <v>-66911</v>
      </c>
      <c r="F98" s="260">
        <v>29694</v>
      </c>
      <c r="G98" s="687">
        <f t="shared" si="33"/>
        <v>171128</v>
      </c>
      <c r="I98" s="263">
        <v>48276</v>
      </c>
      <c r="J98" s="687">
        <f t="shared" si="42"/>
        <v>247913</v>
      </c>
      <c r="L98" s="260">
        <v>97992</v>
      </c>
      <c r="O98" s="687">
        <f t="shared" si="40"/>
        <v>97992</v>
      </c>
      <c r="R98" s="687">
        <f t="shared" si="56"/>
        <v>842141</v>
      </c>
      <c r="S98" s="710">
        <f t="shared" si="57"/>
        <v>1.2130681163428518</v>
      </c>
      <c r="T98" s="687">
        <f t="shared" si="58"/>
        <v>109051</v>
      </c>
      <c r="U98" s="260">
        <v>30062</v>
      </c>
      <c r="V98" s="687">
        <f t="shared" si="34"/>
        <v>137080.75</v>
      </c>
      <c r="W98" s="687"/>
      <c r="X98" s="687">
        <f t="shared" si="59"/>
        <v>1357438</v>
      </c>
      <c r="Z98" s="263">
        <f t="shared" si="31"/>
        <v>78989</v>
      </c>
      <c r="AA98" s="687">
        <f t="shared" si="60"/>
        <v>113119.83333333333</v>
      </c>
      <c r="AB98" s="687">
        <f t="shared" si="61"/>
        <v>117952</v>
      </c>
      <c r="AC98" s="710">
        <f t="shared" si="45"/>
        <v>8.6893103036750116E-2</v>
      </c>
      <c r="AF98" s="687">
        <f t="shared" si="62"/>
        <v>30062</v>
      </c>
      <c r="AG98" s="263">
        <f t="shared" si="63"/>
        <v>117952</v>
      </c>
      <c r="AH98" s="263">
        <f t="shared" si="64"/>
        <v>58972.110000000059</v>
      </c>
      <c r="AJ98" s="711">
        <f t="shared" si="32"/>
        <v>43339.520000000004</v>
      </c>
      <c r="AK98" s="687">
        <f t="shared" si="65"/>
        <v>-13277.520000000004</v>
      </c>
      <c r="AL98" s="712">
        <f t="shared" si="46"/>
        <v>176292537.35040012</v>
      </c>
      <c r="AM98" s="263">
        <f t="shared" si="66"/>
        <v>58979.889999999941</v>
      </c>
      <c r="AQ98" s="260">
        <v>-66911</v>
      </c>
      <c r="AR98" s="260">
        <v>29694</v>
      </c>
      <c r="AS98" s="260">
        <v>48276</v>
      </c>
      <c r="AT98" s="260">
        <v>97992</v>
      </c>
    </row>
    <row r="99" spans="1:51" s="260" customFormat="1" ht="14" thickBot="1">
      <c r="A99" s="684">
        <v>37198</v>
      </c>
      <c r="D99" s="260">
        <v>-86037</v>
      </c>
      <c r="F99" s="260">
        <v>143311</v>
      </c>
      <c r="G99" s="687">
        <f t="shared" si="33"/>
        <v>314439</v>
      </c>
      <c r="I99" s="263">
        <v>6181</v>
      </c>
      <c r="J99" s="687">
        <f t="shared" si="42"/>
        <v>248396</v>
      </c>
      <c r="L99" s="260">
        <v>152445</v>
      </c>
      <c r="O99" s="687">
        <f t="shared" si="40"/>
        <v>152445</v>
      </c>
      <c r="R99" s="687">
        <f t="shared" si="56"/>
        <v>917347</v>
      </c>
      <c r="S99" s="710">
        <f t="shared" si="57"/>
        <v>1.2880559397356062</v>
      </c>
      <c r="T99" s="687">
        <f t="shared" si="58"/>
        <v>215900</v>
      </c>
      <c r="U99" s="260">
        <v>87223</v>
      </c>
      <c r="V99" s="687">
        <f t="shared" si="34"/>
        <v>178502.85</v>
      </c>
      <c r="W99" s="687"/>
      <c r="X99" s="687">
        <f t="shared" si="59"/>
        <v>1470583</v>
      </c>
      <c r="Z99" s="263">
        <f t="shared" si="31"/>
        <v>128677</v>
      </c>
      <c r="AA99" s="687">
        <f t="shared" si="60"/>
        <v>122548.58333333333</v>
      </c>
      <c r="AB99" s="687">
        <f t="shared" si="61"/>
        <v>156346</v>
      </c>
      <c r="AC99" s="710">
        <f t="shared" si="45"/>
        <v>0.1063156584837442</v>
      </c>
      <c r="AF99" s="687">
        <f t="shared" si="62"/>
        <v>87223</v>
      </c>
      <c r="AG99" s="263">
        <f t="shared" si="63"/>
        <v>156346</v>
      </c>
      <c r="AH99" s="263">
        <f t="shared" si="64"/>
        <v>129135.87000000005</v>
      </c>
      <c r="AJ99" s="711">
        <f t="shared" si="32"/>
        <v>74617.11</v>
      </c>
      <c r="AK99" s="687">
        <f t="shared" si="65"/>
        <v>12605.89</v>
      </c>
      <c r="AL99" s="712">
        <f t="shared" si="46"/>
        <v>158908462.69209999</v>
      </c>
      <c r="AM99" s="263">
        <f t="shared" si="66"/>
        <v>27210.129999999961</v>
      </c>
      <c r="AQ99" s="260">
        <v>-86037</v>
      </c>
      <c r="AR99" s="260">
        <v>143311</v>
      </c>
      <c r="AS99" s="260">
        <v>6181</v>
      </c>
      <c r="AT99" s="260">
        <v>152445</v>
      </c>
    </row>
    <row r="100" spans="1:51" s="261" customFormat="1" ht="14" thickBot="1">
      <c r="A100" s="704">
        <v>37228</v>
      </c>
      <c r="B100" s="688"/>
      <c r="C100" s="688"/>
      <c r="D100" s="688">
        <v>-51981</v>
      </c>
      <c r="E100" s="688"/>
      <c r="F100" s="688">
        <v>71018</v>
      </c>
      <c r="G100" s="689">
        <f t="shared" si="33"/>
        <v>375601</v>
      </c>
      <c r="H100" s="688"/>
      <c r="I100" s="705">
        <v>15542</v>
      </c>
      <c r="J100" s="689">
        <f t="shared" si="42"/>
        <v>261222</v>
      </c>
      <c r="K100" s="688"/>
      <c r="L100" s="688">
        <v>53778</v>
      </c>
      <c r="M100" s="688"/>
      <c r="N100" s="688">
        <v>8738</v>
      </c>
      <c r="O100" s="688">
        <f t="shared" si="40"/>
        <v>62516</v>
      </c>
      <c r="P100" s="688"/>
      <c r="Q100" s="688"/>
      <c r="R100" s="689">
        <f t="shared" si="56"/>
        <v>841775</v>
      </c>
      <c r="S100" s="706">
        <f t="shared" si="57"/>
        <v>1.0781937860481321</v>
      </c>
      <c r="T100" s="689">
        <f t="shared" si="58"/>
        <v>97095</v>
      </c>
      <c r="U100" s="717">
        <f>-243408+163305.42</f>
        <v>-80102.579999999987</v>
      </c>
      <c r="V100" s="689">
        <f t="shared" si="34"/>
        <v>138676.75</v>
      </c>
      <c r="W100" s="689"/>
      <c r="X100" s="689">
        <f t="shared" si="59"/>
        <v>1463652</v>
      </c>
      <c r="Y100" s="688"/>
      <c r="Z100" s="705">
        <f t="shared" si="31"/>
        <v>168459.58</v>
      </c>
      <c r="AA100" s="689">
        <f t="shared" si="60"/>
        <v>121971</v>
      </c>
      <c r="AB100" s="689">
        <f t="shared" si="61"/>
        <v>123054.42000000001</v>
      </c>
      <c r="AC100" s="706">
        <f t="shared" si="45"/>
        <v>8.4073550270146194E-2</v>
      </c>
      <c r="AD100" s="688"/>
      <c r="AE100" s="688"/>
      <c r="AF100" s="689">
        <f t="shared" si="62"/>
        <v>-80102.579999999987</v>
      </c>
      <c r="AG100" s="705">
        <f t="shared" si="63"/>
        <v>123054.42000000001</v>
      </c>
      <c r="AH100" s="705">
        <f t="shared" si="64"/>
        <v>73491.870000000054</v>
      </c>
      <c r="AI100" s="688"/>
      <c r="AJ100" s="707">
        <f t="shared" si="32"/>
        <v>4027.2000000000044</v>
      </c>
      <c r="AK100" s="689">
        <f t="shared" si="65"/>
        <v>-84129.78</v>
      </c>
      <c r="AL100" s="708">
        <f t="shared" si="46"/>
        <v>7077819882.8484001</v>
      </c>
      <c r="AM100" s="705">
        <f t="shared" si="66"/>
        <v>49562.549999999959</v>
      </c>
      <c r="AN100" s="688"/>
      <c r="AO100" s="688"/>
      <c r="AP100" s="688"/>
      <c r="AQ100" s="688">
        <v>-51981</v>
      </c>
      <c r="AR100" s="688">
        <v>71018</v>
      </c>
      <c r="AS100" s="688">
        <v>15542</v>
      </c>
      <c r="AT100" s="688">
        <v>62516</v>
      </c>
      <c r="AU100" s="688"/>
      <c r="AV100" s="688"/>
      <c r="AW100" s="688"/>
      <c r="AX100" s="688"/>
      <c r="AY100" s="688"/>
    </row>
    <row r="101" spans="1:51" s="260" customFormat="1">
      <c r="A101" s="684">
        <v>37259</v>
      </c>
      <c r="D101" s="260">
        <v>76054</v>
      </c>
      <c r="F101" s="260">
        <v>0</v>
      </c>
      <c r="G101" s="687">
        <f t="shared" si="33"/>
        <v>371847</v>
      </c>
      <c r="I101" s="263">
        <v>10876</v>
      </c>
      <c r="J101" s="687">
        <f t="shared" si="42"/>
        <v>250188</v>
      </c>
      <c r="L101" s="260">
        <v>32065</v>
      </c>
      <c r="N101" s="260">
        <v>10160</v>
      </c>
      <c r="O101" s="687">
        <f t="shared" si="40"/>
        <v>42225</v>
      </c>
      <c r="R101" s="687">
        <f t="shared" si="56"/>
        <v>824082</v>
      </c>
      <c r="S101" s="710">
        <f t="shared" si="57"/>
        <v>1.0391247002095696</v>
      </c>
      <c r="T101" s="687">
        <f t="shared" si="58"/>
        <v>129155</v>
      </c>
      <c r="U101" s="260">
        <v>19322</v>
      </c>
      <c r="V101" s="687">
        <f t="shared" si="34"/>
        <v>117934</v>
      </c>
      <c r="W101" s="687"/>
      <c r="X101" s="687">
        <f t="shared" si="59"/>
        <v>1517057</v>
      </c>
      <c r="Z101" s="263">
        <f t="shared" si="31"/>
        <v>99673</v>
      </c>
      <c r="AA101" s="687">
        <f t="shared" si="60"/>
        <v>126421.41666666667</v>
      </c>
      <c r="AB101" s="687">
        <f t="shared" si="61"/>
        <v>153480.42000000001</v>
      </c>
      <c r="AC101" s="710">
        <f t="shared" si="45"/>
        <v>0.10116984398081286</v>
      </c>
      <c r="AF101" s="687">
        <f t="shared" si="62"/>
        <v>19322</v>
      </c>
      <c r="AG101" s="263">
        <f t="shared" si="63"/>
        <v>153480.42000000001</v>
      </c>
      <c r="AH101" s="263">
        <f t="shared" si="64"/>
        <v>62121.740000000056</v>
      </c>
      <c r="AJ101" s="711">
        <f t="shared" si="32"/>
        <v>-15567.79</v>
      </c>
      <c r="AK101" s="687">
        <f t="shared" si="65"/>
        <v>34889.79</v>
      </c>
      <c r="AL101" s="712">
        <f t="shared" si="46"/>
        <v>1217297446.2441001</v>
      </c>
      <c r="AM101" s="263">
        <f t="shared" si="66"/>
        <v>91358.679999999964</v>
      </c>
      <c r="AQ101" s="260">
        <v>76054</v>
      </c>
      <c r="AR101" s="260">
        <v>0</v>
      </c>
      <c r="AS101" s="260">
        <v>10876</v>
      </c>
      <c r="AT101" s="260">
        <v>42225</v>
      </c>
    </row>
    <row r="102" spans="1:51" s="260" customFormat="1">
      <c r="A102" s="684">
        <v>37290</v>
      </c>
      <c r="D102" s="260">
        <v>-76768</v>
      </c>
      <c r="F102" s="260">
        <v>49792</v>
      </c>
      <c r="G102" s="687">
        <f t="shared" si="33"/>
        <v>421639</v>
      </c>
      <c r="I102" s="263">
        <v>31485</v>
      </c>
      <c r="J102" s="687">
        <f t="shared" si="42"/>
        <v>245063</v>
      </c>
      <c r="L102" s="260">
        <v>54833</v>
      </c>
      <c r="N102" s="260">
        <v>0</v>
      </c>
      <c r="O102" s="687">
        <f t="shared" si="40"/>
        <v>54833</v>
      </c>
      <c r="R102" s="687">
        <f t="shared" ref="R102:R136" si="67">SUM(O91:O102)</f>
        <v>828743</v>
      </c>
      <c r="S102" s="710">
        <f t="shared" ref="S102:S124" si="68">(R102/R90)</f>
        <v>1.0488505892596793</v>
      </c>
      <c r="T102" s="687">
        <f t="shared" ref="T102:T124" si="69">D102+E102+F102+I102+O102</f>
        <v>59342</v>
      </c>
      <c r="U102" s="260">
        <v>-36312</v>
      </c>
      <c r="V102" s="687">
        <f t="shared" ref="V102:V124" si="70">(T101*0.35+T102*0.65)</f>
        <v>83776.55</v>
      </c>
      <c r="W102" s="687"/>
      <c r="X102" s="687">
        <f t="shared" ref="X102:X124" si="71">SUM(T91:T102)</f>
        <v>1468412</v>
      </c>
      <c r="Z102" s="263">
        <f t="shared" si="31"/>
        <v>95654</v>
      </c>
      <c r="AA102" s="687">
        <f t="shared" ref="AA102:AA124" si="72">SUM(T91:T102)/12</f>
        <v>122367.66666666667</v>
      </c>
      <c r="AB102" s="687">
        <f t="shared" ref="AB102:AB124" si="73">SUM(U91:U102)</f>
        <v>105782.42000000001</v>
      </c>
      <c r="AC102" s="710">
        <f t="shared" si="45"/>
        <v>7.2038651277706811E-2</v>
      </c>
      <c r="AF102" s="687">
        <f t="shared" ref="AF102:AF124" si="74">U102</f>
        <v>-36312</v>
      </c>
      <c r="AG102" s="263">
        <f t="shared" ref="AG102:AG124" si="75">SUM(AF91:AF102)</f>
        <v>105782.42000000001</v>
      </c>
      <c r="AH102" s="263">
        <f t="shared" ref="AH102:AH124" si="76">SUM(AJ91:AJ102)</f>
        <v>64098.970000000023</v>
      </c>
      <c r="AJ102" s="711">
        <f t="shared" si="32"/>
        <v>-4522.2099999999991</v>
      </c>
      <c r="AK102" s="687">
        <f t="shared" ref="AK102:AK124" si="77">AF102-AJ102</f>
        <v>-31789.79</v>
      </c>
      <c r="AL102" s="712">
        <f t="shared" si="46"/>
        <v>1010590748.2441001</v>
      </c>
      <c r="AM102" s="263">
        <f t="shared" ref="AM102:AM124" si="78">SUM(AK91:AK102)</f>
        <v>41683.449999999961</v>
      </c>
      <c r="AQ102" s="260">
        <v>76054</v>
      </c>
      <c r="AR102" s="260">
        <v>0</v>
      </c>
      <c r="AS102" s="260">
        <v>10876</v>
      </c>
      <c r="AT102" s="260">
        <v>42225</v>
      </c>
    </row>
    <row r="103" spans="1:51" s="260" customFormat="1">
      <c r="A103" s="684">
        <v>37318</v>
      </c>
      <c r="D103" s="260">
        <v>14085</v>
      </c>
      <c r="F103" s="260">
        <v>8487</v>
      </c>
      <c r="G103" s="687">
        <f t="shared" si="33"/>
        <v>420116</v>
      </c>
      <c r="I103" s="263">
        <v>32711</v>
      </c>
      <c r="J103" s="687">
        <f t="shared" si="42"/>
        <v>251337</v>
      </c>
      <c r="L103" s="260">
        <v>48274</v>
      </c>
      <c r="N103" s="260">
        <v>0</v>
      </c>
      <c r="O103" s="687">
        <f t="shared" si="40"/>
        <v>48274</v>
      </c>
      <c r="R103" s="687">
        <f t="shared" si="67"/>
        <v>819274</v>
      </c>
      <c r="S103" s="710">
        <f t="shared" si="68"/>
        <v>1.0360498098681408</v>
      </c>
      <c r="T103" s="687">
        <f t="shared" si="69"/>
        <v>103557</v>
      </c>
      <c r="U103" s="260">
        <v>-8034</v>
      </c>
      <c r="V103" s="687">
        <f t="shared" si="70"/>
        <v>88081.75</v>
      </c>
      <c r="W103" s="687"/>
      <c r="X103" s="687">
        <f t="shared" si="71"/>
        <v>1484346</v>
      </c>
      <c r="Z103" s="263">
        <f t="shared" si="31"/>
        <v>111591</v>
      </c>
      <c r="AA103" s="687">
        <f t="shared" si="72"/>
        <v>123695.5</v>
      </c>
      <c r="AB103" s="687">
        <f t="shared" si="73"/>
        <v>110339.42000000001</v>
      </c>
      <c r="AC103" s="710">
        <f t="shared" si="45"/>
        <v>7.4335377331161342E-2</v>
      </c>
      <c r="AF103" s="687">
        <f t="shared" si="74"/>
        <v>-8034</v>
      </c>
      <c r="AG103" s="263">
        <f t="shared" si="75"/>
        <v>110339.42000000001</v>
      </c>
      <c r="AH103" s="263">
        <f t="shared" si="76"/>
        <v>58178.840000000018</v>
      </c>
      <c r="AJ103" s="711">
        <f t="shared" si="32"/>
        <v>-10058.120000000003</v>
      </c>
      <c r="AK103" s="687">
        <f t="shared" si="77"/>
        <v>2024.1200000000026</v>
      </c>
      <c r="AL103" s="712">
        <f t="shared" si="46"/>
        <v>4097061.7744000107</v>
      </c>
      <c r="AM103" s="263">
        <f t="shared" si="78"/>
        <v>52160.579999999973</v>
      </c>
      <c r="AQ103" s="260">
        <v>76054</v>
      </c>
      <c r="AR103" s="260">
        <v>0</v>
      </c>
      <c r="AS103" s="260">
        <v>10876</v>
      </c>
      <c r="AT103" s="260">
        <v>42225</v>
      </c>
    </row>
    <row r="104" spans="1:51" s="260" customFormat="1">
      <c r="A104" s="684">
        <v>37349</v>
      </c>
      <c r="D104" s="260">
        <v>14996</v>
      </c>
      <c r="F104" s="260">
        <v>0</v>
      </c>
      <c r="G104" s="687">
        <f t="shared" si="33"/>
        <v>420116</v>
      </c>
      <c r="I104" s="263">
        <v>13048</v>
      </c>
      <c r="J104" s="687">
        <f t="shared" si="42"/>
        <v>253892</v>
      </c>
      <c r="L104" s="260">
        <v>43199</v>
      </c>
      <c r="N104" s="260">
        <v>0</v>
      </c>
      <c r="O104" s="687">
        <f t="shared" si="40"/>
        <v>43199</v>
      </c>
      <c r="R104" s="687">
        <f t="shared" si="67"/>
        <v>832706</v>
      </c>
      <c r="S104" s="710">
        <f t="shared" si="68"/>
        <v>1.0669439393997635</v>
      </c>
      <c r="T104" s="687">
        <f t="shared" si="69"/>
        <v>71243</v>
      </c>
      <c r="U104" s="687">
        <v>-29787</v>
      </c>
      <c r="V104" s="687">
        <f t="shared" si="70"/>
        <v>82552.899999999994</v>
      </c>
      <c r="W104" s="687"/>
      <c r="X104" s="687">
        <f t="shared" si="71"/>
        <v>1462614</v>
      </c>
      <c r="Z104" s="263">
        <f t="shared" si="31"/>
        <v>101030</v>
      </c>
      <c r="AA104" s="687">
        <f t="shared" si="72"/>
        <v>121884.5</v>
      </c>
      <c r="AB104" s="687">
        <f t="shared" si="73"/>
        <v>78447.420000000013</v>
      </c>
      <c r="AC104" s="710">
        <f t="shared" si="45"/>
        <v>5.3635080752679802E-2</v>
      </c>
      <c r="AF104" s="687">
        <f t="shared" si="74"/>
        <v>-29787</v>
      </c>
      <c r="AG104" s="263">
        <f t="shared" si="75"/>
        <v>78447.420000000013</v>
      </c>
      <c r="AH104" s="263">
        <f t="shared" si="76"/>
        <v>71845.900000000023</v>
      </c>
      <c r="AJ104" s="711">
        <f t="shared" si="32"/>
        <v>-23822.85</v>
      </c>
      <c r="AK104" s="687">
        <f t="shared" si="77"/>
        <v>-5964.1500000000015</v>
      </c>
      <c r="AL104" s="712">
        <f t="shared" si="46"/>
        <v>35571085.222500019</v>
      </c>
      <c r="AM104" s="263">
        <f t="shared" si="78"/>
        <v>6601.519999999975</v>
      </c>
      <c r="AQ104" s="260">
        <v>76054</v>
      </c>
      <c r="AR104" s="260">
        <v>0</v>
      </c>
      <c r="AS104" s="260">
        <v>10876</v>
      </c>
      <c r="AT104" s="260">
        <v>42225</v>
      </c>
    </row>
    <row r="105" spans="1:51" s="719" customFormat="1">
      <c r="A105" s="718">
        <v>37379</v>
      </c>
      <c r="D105" s="719">
        <v>144234</v>
      </c>
      <c r="F105" s="719">
        <v>0</v>
      </c>
      <c r="G105" s="720">
        <f t="shared" si="33"/>
        <v>420116</v>
      </c>
      <c r="I105" s="722">
        <v>18023</v>
      </c>
      <c r="J105" s="720">
        <f t="shared" si="42"/>
        <v>213237</v>
      </c>
      <c r="L105" s="719">
        <v>75545</v>
      </c>
      <c r="N105" s="719">
        <v>0</v>
      </c>
      <c r="O105" s="720">
        <f t="shared" si="40"/>
        <v>75545</v>
      </c>
      <c r="R105" s="720">
        <f t="shared" si="67"/>
        <v>838942</v>
      </c>
      <c r="S105" s="721">
        <f t="shared" si="68"/>
        <v>1.051759154322164</v>
      </c>
      <c r="T105" s="720">
        <f t="shared" si="69"/>
        <v>237802</v>
      </c>
      <c r="U105" s="719">
        <v>65693</v>
      </c>
      <c r="V105" s="720">
        <f t="shared" si="70"/>
        <v>179506.35</v>
      </c>
      <c r="W105" s="720"/>
      <c r="X105" s="720">
        <f t="shared" si="71"/>
        <v>1563628</v>
      </c>
      <c r="Z105" s="722">
        <f t="shared" si="31"/>
        <v>172109</v>
      </c>
      <c r="AA105" s="720">
        <f t="shared" si="72"/>
        <v>130302.33333333333</v>
      </c>
      <c r="AB105" s="720">
        <f t="shared" si="73"/>
        <v>98224.420000000013</v>
      </c>
      <c r="AC105" s="721">
        <f t="shared" si="45"/>
        <v>6.2818279028004118E-2</v>
      </c>
      <c r="AF105" s="720">
        <f t="shared" si="74"/>
        <v>65693</v>
      </c>
      <c r="AG105" s="722">
        <f t="shared" si="75"/>
        <v>98224.420000000013</v>
      </c>
      <c r="AH105" s="722">
        <f t="shared" si="76"/>
        <v>57203.080000000038</v>
      </c>
      <c r="AJ105" s="723">
        <f t="shared" si="32"/>
        <v>8547.4300000000076</v>
      </c>
      <c r="AK105" s="720">
        <f t="shared" si="77"/>
        <v>57145.569999999992</v>
      </c>
      <c r="AL105" s="724">
        <f t="shared" si="46"/>
        <v>3265616170.6248989</v>
      </c>
      <c r="AM105" s="722">
        <f t="shared" si="78"/>
        <v>41021.339999999982</v>
      </c>
      <c r="AQ105" s="719">
        <v>76054</v>
      </c>
      <c r="AR105" s="719">
        <v>0</v>
      </c>
      <c r="AS105" s="719">
        <v>10876</v>
      </c>
      <c r="AT105" s="719">
        <v>42225</v>
      </c>
    </row>
    <row r="106" spans="1:51" s="726" customFormat="1">
      <c r="A106" s="725">
        <v>37410</v>
      </c>
      <c r="D106" s="726">
        <v>-27619</v>
      </c>
      <c r="F106" s="726">
        <v>137235</v>
      </c>
      <c r="G106" s="727">
        <f t="shared" si="33"/>
        <v>557351</v>
      </c>
      <c r="I106" s="729">
        <v>16751</v>
      </c>
      <c r="J106" s="727">
        <f t="shared" si="42"/>
        <v>229542</v>
      </c>
      <c r="L106" s="726">
        <v>56981</v>
      </c>
      <c r="N106" s="726">
        <v>0</v>
      </c>
      <c r="O106" s="727">
        <f t="shared" si="40"/>
        <v>56981</v>
      </c>
      <c r="R106" s="727">
        <f t="shared" si="67"/>
        <v>834418</v>
      </c>
      <c r="S106" s="728">
        <f t="shared" si="68"/>
        <v>1.0627010670083268</v>
      </c>
      <c r="T106" s="727">
        <f t="shared" si="69"/>
        <v>183348</v>
      </c>
      <c r="U106" s="727">
        <v>1201</v>
      </c>
      <c r="V106" s="727">
        <f t="shared" si="70"/>
        <v>202406.9</v>
      </c>
      <c r="W106" s="727"/>
      <c r="X106" s="727">
        <f t="shared" si="71"/>
        <v>1636694</v>
      </c>
      <c r="Z106" s="729">
        <f t="shared" si="31"/>
        <v>182147</v>
      </c>
      <c r="AA106" s="727">
        <f t="shared" si="72"/>
        <v>136391.16666666666</v>
      </c>
      <c r="AB106" s="727">
        <f t="shared" si="73"/>
        <v>122560.42000000001</v>
      </c>
      <c r="AC106" s="728">
        <f t="shared" si="45"/>
        <v>7.4882916415652534E-2</v>
      </c>
      <c r="AF106" s="727">
        <f t="shared" si="74"/>
        <v>1201</v>
      </c>
      <c r="AG106" s="729">
        <f t="shared" si="75"/>
        <v>122560.42000000001</v>
      </c>
      <c r="AH106" s="729">
        <f t="shared" si="76"/>
        <v>60496.060000000049</v>
      </c>
      <c r="AJ106" s="730">
        <f t="shared" si="32"/>
        <v>-9302.2099999999991</v>
      </c>
      <c r="AK106" s="727">
        <f t="shared" si="77"/>
        <v>10503.21</v>
      </c>
      <c r="AL106" s="731">
        <f t="shared" si="46"/>
        <v>110317420.30409998</v>
      </c>
      <c r="AM106" s="729">
        <f t="shared" si="78"/>
        <v>62064.359999999979</v>
      </c>
      <c r="AQ106" s="726">
        <v>76054</v>
      </c>
      <c r="AR106" s="726">
        <v>0</v>
      </c>
      <c r="AS106" s="726">
        <v>10876</v>
      </c>
      <c r="AT106" s="726">
        <v>42225</v>
      </c>
    </row>
    <row r="107" spans="1:51" s="726" customFormat="1">
      <c r="A107" s="725">
        <v>37440</v>
      </c>
      <c r="D107" s="726">
        <v>-18301</v>
      </c>
      <c r="F107" s="726">
        <v>12654</v>
      </c>
      <c r="G107" s="727">
        <f t="shared" si="33"/>
        <v>538501</v>
      </c>
      <c r="I107" s="729">
        <v>5296</v>
      </c>
      <c r="J107" s="727">
        <f t="shared" si="42"/>
        <v>213225</v>
      </c>
      <c r="L107" s="726">
        <v>104424</v>
      </c>
      <c r="N107" s="726">
        <v>0</v>
      </c>
      <c r="O107" s="727">
        <f t="shared" si="40"/>
        <v>104424</v>
      </c>
      <c r="R107" s="727">
        <f t="shared" si="67"/>
        <v>872639</v>
      </c>
      <c r="S107" s="728">
        <f t="shared" si="68"/>
        <v>1.1286727758340824</v>
      </c>
      <c r="T107" s="727">
        <f t="shared" si="69"/>
        <v>104073</v>
      </c>
      <c r="U107" s="727">
        <v>-1862</v>
      </c>
      <c r="V107" s="727">
        <f t="shared" si="70"/>
        <v>131819.25</v>
      </c>
      <c r="W107" s="727"/>
      <c r="X107" s="727">
        <f t="shared" si="71"/>
        <v>1599587</v>
      </c>
      <c r="Z107" s="729">
        <f t="shared" si="31"/>
        <v>105935</v>
      </c>
      <c r="AA107" s="727">
        <f t="shared" si="72"/>
        <v>133298.91666666666</v>
      </c>
      <c r="AB107" s="727">
        <f t="shared" si="73"/>
        <v>67433.420000000013</v>
      </c>
      <c r="AC107" s="728">
        <f t="shared" si="45"/>
        <v>4.2156769216053901E-2</v>
      </c>
      <c r="AF107" s="727">
        <f t="shared" si="74"/>
        <v>-1862</v>
      </c>
      <c r="AG107" s="729">
        <f t="shared" si="75"/>
        <v>67433.420000000013</v>
      </c>
      <c r="AH107" s="729">
        <f t="shared" si="76"/>
        <v>88535.770000000077</v>
      </c>
      <c r="AJ107" s="730">
        <f t="shared" si="32"/>
        <v>29550.48000000001</v>
      </c>
      <c r="AK107" s="727">
        <f t="shared" si="77"/>
        <v>-31412.48000000001</v>
      </c>
      <c r="AL107" s="731">
        <f t="shared" si="46"/>
        <v>986743899.75040066</v>
      </c>
      <c r="AM107" s="729">
        <f t="shared" si="78"/>
        <v>-21102.350000000035</v>
      </c>
      <c r="AQ107" s="726">
        <v>76054</v>
      </c>
      <c r="AR107" s="726">
        <v>0</v>
      </c>
      <c r="AS107" s="726">
        <v>10876</v>
      </c>
      <c r="AT107" s="726">
        <v>42225</v>
      </c>
    </row>
    <row r="108" spans="1:51" s="726" customFormat="1">
      <c r="A108" s="725">
        <v>37471</v>
      </c>
      <c r="D108" s="726">
        <v>-18690</v>
      </c>
      <c r="F108" s="726">
        <v>0</v>
      </c>
      <c r="G108" s="727">
        <f t="shared" si="33"/>
        <v>452191</v>
      </c>
      <c r="I108" s="729">
        <v>6396</v>
      </c>
      <c r="J108" s="727">
        <f t="shared" si="42"/>
        <v>209495</v>
      </c>
      <c r="L108" s="726">
        <v>79193</v>
      </c>
      <c r="N108" s="726">
        <v>0</v>
      </c>
      <c r="O108" s="727">
        <f t="shared" si="40"/>
        <v>79193</v>
      </c>
      <c r="R108" s="727">
        <f t="shared" si="67"/>
        <v>888197</v>
      </c>
      <c r="S108" s="728">
        <f t="shared" si="68"/>
        <v>1.1304200080690014</v>
      </c>
      <c r="T108" s="727">
        <f t="shared" si="69"/>
        <v>66899</v>
      </c>
      <c r="U108" s="726">
        <v>-18722</v>
      </c>
      <c r="V108" s="727">
        <f t="shared" si="70"/>
        <v>79909.899999999994</v>
      </c>
      <c r="W108" s="727"/>
      <c r="X108" s="727">
        <f t="shared" si="71"/>
        <v>1566601</v>
      </c>
      <c r="Z108" s="729">
        <f t="shared" si="31"/>
        <v>85621</v>
      </c>
      <c r="AA108" s="727">
        <f t="shared" si="72"/>
        <v>130550.08333333333</v>
      </c>
      <c r="AB108" s="727">
        <f t="shared" si="73"/>
        <v>84552.420000000013</v>
      </c>
      <c r="AC108" s="728">
        <f t="shared" si="45"/>
        <v>5.3971892013346102E-2</v>
      </c>
      <c r="AF108" s="727">
        <f t="shared" si="74"/>
        <v>-18722</v>
      </c>
      <c r="AG108" s="729">
        <f t="shared" si="75"/>
        <v>84552.420000000013</v>
      </c>
      <c r="AH108" s="729">
        <f t="shared" si="76"/>
        <v>101288.91000000005</v>
      </c>
      <c r="AJ108" s="730">
        <f t="shared" si="32"/>
        <v>6591.6500000000087</v>
      </c>
      <c r="AK108" s="727">
        <f t="shared" si="77"/>
        <v>-25313.650000000009</v>
      </c>
      <c r="AL108" s="731">
        <f t="shared" si="46"/>
        <v>640780876.32250047</v>
      </c>
      <c r="AM108" s="729">
        <f t="shared" si="78"/>
        <v>-16736.490000000042</v>
      </c>
      <c r="AQ108" s="726">
        <v>76054</v>
      </c>
      <c r="AR108" s="726">
        <v>0</v>
      </c>
      <c r="AS108" s="726">
        <v>10876</v>
      </c>
      <c r="AT108" s="726">
        <v>42225</v>
      </c>
    </row>
    <row r="109" spans="1:51" s="726" customFormat="1">
      <c r="A109" s="725">
        <v>37502</v>
      </c>
      <c r="D109" s="726">
        <v>-72339</v>
      </c>
      <c r="F109" s="726">
        <v>18504</v>
      </c>
      <c r="G109" s="727">
        <f t="shared" si="33"/>
        <v>470695</v>
      </c>
      <c r="I109" s="729">
        <v>117463</v>
      </c>
      <c r="J109" s="727">
        <f t="shared" si="42"/>
        <v>322048</v>
      </c>
      <c r="L109" s="726">
        <v>33351</v>
      </c>
      <c r="N109" s="726">
        <v>0</v>
      </c>
      <c r="O109" s="727">
        <f t="shared" si="40"/>
        <v>33351</v>
      </c>
      <c r="R109" s="727">
        <f t="shared" si="67"/>
        <v>850978</v>
      </c>
      <c r="S109" s="728">
        <f t="shared" si="68"/>
        <v>1.0329283243308855</v>
      </c>
      <c r="T109" s="727">
        <f t="shared" si="69"/>
        <v>96979</v>
      </c>
      <c r="U109" s="726">
        <v>9137</v>
      </c>
      <c r="V109" s="727">
        <f t="shared" si="70"/>
        <v>86451</v>
      </c>
      <c r="W109" s="727"/>
      <c r="X109" s="727">
        <f t="shared" si="71"/>
        <v>1474444</v>
      </c>
      <c r="Z109" s="729">
        <f t="shared" si="31"/>
        <v>87842</v>
      </c>
      <c r="AA109" s="727">
        <f t="shared" si="72"/>
        <v>122870.33333333333</v>
      </c>
      <c r="AB109" s="727">
        <f t="shared" si="73"/>
        <v>37818.420000000013</v>
      </c>
      <c r="AC109" s="728">
        <f t="shared" si="45"/>
        <v>2.564927525223068E-2</v>
      </c>
      <c r="AF109" s="727">
        <f t="shared" si="74"/>
        <v>9137</v>
      </c>
      <c r="AG109" s="729">
        <f t="shared" si="75"/>
        <v>37818.420000000013</v>
      </c>
      <c r="AH109" s="729">
        <f t="shared" si="76"/>
        <v>118449.62000000004</v>
      </c>
      <c r="AJ109" s="730">
        <f t="shared" si="32"/>
        <v>15049.410000000003</v>
      </c>
      <c r="AK109" s="727">
        <f t="shared" si="77"/>
        <v>-5912.4100000000035</v>
      </c>
      <c r="AL109" s="731">
        <f t="shared" si="46"/>
        <v>34956592.00810004</v>
      </c>
      <c r="AM109" s="729">
        <f t="shared" si="78"/>
        <v>-80631.200000000041</v>
      </c>
      <c r="AQ109" s="726">
        <v>76054</v>
      </c>
      <c r="AR109" s="726">
        <v>0</v>
      </c>
      <c r="AS109" s="726">
        <v>10876</v>
      </c>
      <c r="AT109" s="726">
        <v>42225</v>
      </c>
    </row>
    <row r="110" spans="1:51" s="726" customFormat="1">
      <c r="A110" s="725">
        <v>37532</v>
      </c>
      <c r="D110" s="726">
        <v>-17465</v>
      </c>
      <c r="F110" s="726">
        <v>9220</v>
      </c>
      <c r="G110" s="727">
        <f t="shared" si="33"/>
        <v>450221</v>
      </c>
      <c r="I110" s="729">
        <v>36976</v>
      </c>
      <c r="J110" s="727">
        <f t="shared" si="42"/>
        <v>310748</v>
      </c>
      <c r="L110" s="726">
        <v>109505</v>
      </c>
      <c r="N110" s="726">
        <v>0</v>
      </c>
      <c r="O110" s="727">
        <f t="shared" si="40"/>
        <v>109505</v>
      </c>
      <c r="R110" s="727">
        <f t="shared" si="67"/>
        <v>862491</v>
      </c>
      <c r="S110" s="728">
        <f t="shared" si="68"/>
        <v>1.0241645995148081</v>
      </c>
      <c r="T110" s="727">
        <f t="shared" si="69"/>
        <v>138236</v>
      </c>
      <c r="U110" s="726">
        <v>15886</v>
      </c>
      <c r="V110" s="727">
        <f t="shared" si="70"/>
        <v>123796.05000000002</v>
      </c>
      <c r="W110" s="727"/>
      <c r="X110" s="727">
        <f t="shared" si="71"/>
        <v>1503629</v>
      </c>
      <c r="Z110" s="729">
        <f t="shared" si="31"/>
        <v>122350</v>
      </c>
      <c r="AA110" s="727">
        <f t="shared" si="72"/>
        <v>125302.41666666667</v>
      </c>
      <c r="AB110" s="727">
        <f t="shared" si="73"/>
        <v>23642.420000000013</v>
      </c>
      <c r="AC110" s="728">
        <f t="shared" si="45"/>
        <v>1.5723572769612726E-2</v>
      </c>
      <c r="AF110" s="727">
        <f t="shared" si="74"/>
        <v>15886</v>
      </c>
      <c r="AG110" s="729">
        <f t="shared" si="75"/>
        <v>23642.420000000013</v>
      </c>
      <c r="AH110" s="729">
        <f t="shared" si="76"/>
        <v>123958.71000000005</v>
      </c>
      <c r="AJ110" s="730">
        <f t="shared" si="32"/>
        <v>48848.610000000008</v>
      </c>
      <c r="AK110" s="727">
        <f t="shared" si="77"/>
        <v>-32962.610000000008</v>
      </c>
      <c r="AL110" s="731">
        <f t="shared" si="46"/>
        <v>1086533658.0121005</v>
      </c>
      <c r="AM110" s="729">
        <f t="shared" si="78"/>
        <v>-100316.29000000004</v>
      </c>
      <c r="AQ110" s="726">
        <v>76054</v>
      </c>
      <c r="AR110" s="726">
        <v>0</v>
      </c>
      <c r="AS110" s="726">
        <v>10876</v>
      </c>
      <c r="AT110" s="726">
        <v>42225</v>
      </c>
    </row>
    <row r="111" spans="1:51" s="726" customFormat="1">
      <c r="A111" s="725">
        <v>37563</v>
      </c>
      <c r="D111" s="726">
        <v>-386</v>
      </c>
      <c r="F111" s="726">
        <v>14304</v>
      </c>
      <c r="G111" s="727">
        <f t="shared" si="33"/>
        <v>321214</v>
      </c>
      <c r="I111" s="729">
        <v>7327</v>
      </c>
      <c r="J111" s="727">
        <f t="shared" si="42"/>
        <v>311894</v>
      </c>
      <c r="L111" s="726">
        <v>100244</v>
      </c>
      <c r="N111" s="726">
        <v>5007</v>
      </c>
      <c r="O111" s="727">
        <f t="shared" si="40"/>
        <v>105251</v>
      </c>
      <c r="R111" s="727">
        <f t="shared" si="67"/>
        <v>815297</v>
      </c>
      <c r="S111" s="728">
        <f t="shared" si="68"/>
        <v>0.88875529107306173</v>
      </c>
      <c r="T111" s="727">
        <f t="shared" si="69"/>
        <v>126496</v>
      </c>
      <c r="U111" s="726">
        <v>36769</v>
      </c>
      <c r="V111" s="727">
        <f t="shared" si="70"/>
        <v>130605</v>
      </c>
      <c r="W111" s="727"/>
      <c r="X111" s="727">
        <f t="shared" si="71"/>
        <v>1414225</v>
      </c>
      <c r="Z111" s="729">
        <f t="shared" si="31"/>
        <v>84720</v>
      </c>
      <c r="AA111" s="727">
        <f t="shared" si="72"/>
        <v>117852.08333333333</v>
      </c>
      <c r="AB111" s="727">
        <f t="shared" si="73"/>
        <v>-26811.579999999987</v>
      </c>
      <c r="AC111" s="728">
        <f t="shared" si="45"/>
        <v>-1.8958496703141287E-2</v>
      </c>
      <c r="AF111" s="727">
        <f t="shared" si="74"/>
        <v>36769</v>
      </c>
      <c r="AG111" s="729">
        <f t="shared" si="75"/>
        <v>-26811.579999999987</v>
      </c>
      <c r="AH111" s="729">
        <f t="shared" si="76"/>
        <v>85602.450000000041</v>
      </c>
      <c r="AJ111" s="730">
        <f t="shared" si="32"/>
        <v>36260.850000000006</v>
      </c>
      <c r="AK111" s="727">
        <f t="shared" si="77"/>
        <v>508.14999999999418</v>
      </c>
      <c r="AL111" s="731">
        <f t="shared" si="46"/>
        <v>258216.42249999408</v>
      </c>
      <c r="AM111" s="729">
        <f t="shared" si="78"/>
        <v>-112414.03000000006</v>
      </c>
      <c r="AQ111" s="726">
        <v>76054</v>
      </c>
      <c r="AR111" s="726">
        <v>0</v>
      </c>
      <c r="AS111" s="726">
        <v>10876</v>
      </c>
      <c r="AT111" s="726">
        <v>42225</v>
      </c>
      <c r="AU111" s="727" t="s">
        <v>62</v>
      </c>
    </row>
    <row r="112" spans="1:51" s="733" customFormat="1" ht="14" thickBot="1">
      <c r="A112" s="732">
        <v>37593</v>
      </c>
      <c r="D112" s="733">
        <v>-3528</v>
      </c>
      <c r="F112" s="733">
        <v>0</v>
      </c>
      <c r="G112" s="734">
        <f t="shared" si="33"/>
        <v>250196</v>
      </c>
      <c r="I112" s="736">
        <v>27678</v>
      </c>
      <c r="J112" s="734">
        <f t="shared" si="42"/>
        <v>324030</v>
      </c>
      <c r="L112" s="733">
        <v>77499</v>
      </c>
      <c r="N112" s="733">
        <v>0</v>
      </c>
      <c r="O112" s="734">
        <f t="shared" si="40"/>
        <v>77499</v>
      </c>
      <c r="R112" s="734">
        <f t="shared" si="67"/>
        <v>830280</v>
      </c>
      <c r="S112" s="735">
        <f t="shared" si="68"/>
        <v>0.98634433191767401</v>
      </c>
      <c r="T112" s="734">
        <f t="shared" si="69"/>
        <v>101649</v>
      </c>
      <c r="U112" s="733">
        <v>-27291</v>
      </c>
      <c r="V112" s="734">
        <f t="shared" si="70"/>
        <v>110345.45000000001</v>
      </c>
      <c r="W112" s="734"/>
      <c r="X112" s="734">
        <f t="shared" si="71"/>
        <v>1418779</v>
      </c>
      <c r="Z112" s="736">
        <f t="shared" si="31"/>
        <v>128940</v>
      </c>
      <c r="AA112" s="734">
        <f t="shared" si="72"/>
        <v>118231.58333333333</v>
      </c>
      <c r="AB112" s="734">
        <f t="shared" si="73"/>
        <v>26000</v>
      </c>
      <c r="AC112" s="735">
        <f t="shared" si="45"/>
        <v>1.8325616604136372E-2</v>
      </c>
      <c r="AF112" s="734">
        <f t="shared" si="74"/>
        <v>-27291</v>
      </c>
      <c r="AG112" s="736">
        <f t="shared" si="75"/>
        <v>26000</v>
      </c>
      <c r="AH112" s="736">
        <f t="shared" si="76"/>
        <v>96381.200000000055</v>
      </c>
      <c r="AJ112" s="737">
        <f t="shared" si="32"/>
        <v>14805.950000000012</v>
      </c>
      <c r="AK112" s="734">
        <f t="shared" si="77"/>
        <v>-42096.950000000012</v>
      </c>
      <c r="AL112" s="738">
        <f t="shared" si="46"/>
        <v>1772153199.302501</v>
      </c>
      <c r="AM112" s="736">
        <f t="shared" si="78"/>
        <v>-70381.200000000041</v>
      </c>
      <c r="AQ112" s="733">
        <v>76054</v>
      </c>
      <c r="AR112" s="733">
        <v>0</v>
      </c>
      <c r="AS112" s="733">
        <v>10876</v>
      </c>
      <c r="AT112" s="733">
        <v>42225</v>
      </c>
      <c r="AU112" s="733" t="e">
        <f>LINEST(AU77:AU101,AQ77:AQ101,TRUE,TRUE)</f>
        <v>#VALUE!</v>
      </c>
    </row>
    <row r="113" spans="1:50" s="726" customFormat="1">
      <c r="A113" s="725">
        <v>37624</v>
      </c>
      <c r="D113" s="726">
        <v>-3806</v>
      </c>
      <c r="F113" s="726">
        <v>10861</v>
      </c>
      <c r="G113" s="727">
        <f t="shared" si="33"/>
        <v>261057</v>
      </c>
      <c r="I113" s="729">
        <v>51791</v>
      </c>
      <c r="J113" s="727">
        <f t="shared" si="42"/>
        <v>364945</v>
      </c>
      <c r="L113" s="726">
        <v>54384</v>
      </c>
      <c r="N113" s="726">
        <v>0</v>
      </c>
      <c r="O113" s="727">
        <f t="shared" ref="O113:O136" si="79">L113+M113+N113</f>
        <v>54384</v>
      </c>
      <c r="R113" s="727">
        <f t="shared" si="67"/>
        <v>842439</v>
      </c>
      <c r="S113" s="728">
        <f t="shared" si="68"/>
        <v>1.0222756958652173</v>
      </c>
      <c r="T113" s="727">
        <f t="shared" si="69"/>
        <v>113230</v>
      </c>
      <c r="U113" s="726">
        <v>-15001</v>
      </c>
      <c r="V113" s="727">
        <f t="shared" si="70"/>
        <v>109176.65</v>
      </c>
      <c r="W113" s="727"/>
      <c r="X113" s="727">
        <f t="shared" si="71"/>
        <v>1402854</v>
      </c>
      <c r="Z113" s="729">
        <f t="shared" si="31"/>
        <v>128231</v>
      </c>
      <c r="AA113" s="727">
        <f t="shared" si="72"/>
        <v>116904.5</v>
      </c>
      <c r="AB113" s="727">
        <f t="shared" si="73"/>
        <v>-8323</v>
      </c>
      <c r="AC113" s="728">
        <f t="shared" si="45"/>
        <v>-5.932905348667787E-3</v>
      </c>
      <c r="AF113" s="727">
        <f t="shared" si="74"/>
        <v>-15001</v>
      </c>
      <c r="AG113" s="729">
        <f t="shared" si="75"/>
        <v>-8323</v>
      </c>
      <c r="AH113" s="729">
        <f t="shared" si="76"/>
        <v>116349.97000000006</v>
      </c>
      <c r="AJ113" s="730">
        <f t="shared" si="32"/>
        <v>4400.9800000000032</v>
      </c>
      <c r="AK113" s="727">
        <f t="shared" si="77"/>
        <v>-19401.980000000003</v>
      </c>
      <c r="AL113" s="731">
        <f t="shared" si="46"/>
        <v>376436827.92040014</v>
      </c>
      <c r="AM113" s="729">
        <f t="shared" si="78"/>
        <v>-124672.97000000006</v>
      </c>
      <c r="AQ113" s="726">
        <v>76054</v>
      </c>
      <c r="AR113" s="726">
        <v>0</v>
      </c>
      <c r="AS113" s="726">
        <v>10876</v>
      </c>
      <c r="AT113" s="726">
        <v>42225</v>
      </c>
    </row>
    <row r="114" spans="1:50" s="726" customFormat="1">
      <c r="A114" s="725">
        <v>37655</v>
      </c>
      <c r="B114" s="729"/>
      <c r="C114" s="739"/>
      <c r="D114" s="726">
        <v>8388</v>
      </c>
      <c r="F114" s="726">
        <v>22522</v>
      </c>
      <c r="G114" s="727">
        <f t="shared" si="33"/>
        <v>233787</v>
      </c>
      <c r="I114" s="729">
        <v>16249</v>
      </c>
      <c r="J114" s="727">
        <f t="shared" si="42"/>
        <v>349709</v>
      </c>
      <c r="L114" s="726">
        <v>52117</v>
      </c>
      <c r="N114" s="726">
        <v>0</v>
      </c>
      <c r="O114" s="727">
        <f t="shared" si="79"/>
        <v>52117</v>
      </c>
      <c r="R114" s="727">
        <f t="shared" si="67"/>
        <v>839723</v>
      </c>
      <c r="S114" s="728">
        <f t="shared" si="68"/>
        <v>1.0132489806852063</v>
      </c>
      <c r="T114" s="727">
        <f t="shared" si="69"/>
        <v>99276</v>
      </c>
      <c r="U114" s="726">
        <v>7754</v>
      </c>
      <c r="V114" s="727">
        <f t="shared" si="70"/>
        <v>104159.9</v>
      </c>
      <c r="W114" s="727"/>
      <c r="X114" s="727">
        <f t="shared" si="71"/>
        <v>1442788</v>
      </c>
      <c r="Z114" s="729">
        <f t="shared" si="31"/>
        <v>91522</v>
      </c>
      <c r="AA114" s="727">
        <f t="shared" si="72"/>
        <v>120232.33333333333</v>
      </c>
      <c r="AB114" s="727">
        <f t="shared" si="73"/>
        <v>35743</v>
      </c>
      <c r="AC114" s="728">
        <f t="shared" si="45"/>
        <v>2.4773563406404821E-2</v>
      </c>
      <c r="AF114" s="727">
        <f t="shared" si="74"/>
        <v>7754</v>
      </c>
      <c r="AG114" s="729">
        <f t="shared" si="75"/>
        <v>35743</v>
      </c>
      <c r="AH114" s="729">
        <f t="shared" si="76"/>
        <v>106815.53000000006</v>
      </c>
      <c r="AJ114" s="730">
        <f t="shared" si="32"/>
        <v>-14056.649999999994</v>
      </c>
      <c r="AK114" s="727">
        <f t="shared" si="77"/>
        <v>21810.649999999994</v>
      </c>
      <c r="AL114" s="731">
        <f t="shared" si="46"/>
        <v>475704453.42249978</v>
      </c>
      <c r="AM114" s="729">
        <f t="shared" si="78"/>
        <v>-71072.530000000057</v>
      </c>
      <c r="AQ114" s="726">
        <v>76054</v>
      </c>
      <c r="AR114" s="726">
        <v>0</v>
      </c>
      <c r="AS114" s="726">
        <v>10876</v>
      </c>
      <c r="AT114" s="726">
        <v>42225</v>
      </c>
      <c r="AX114" s="740"/>
    </row>
    <row r="115" spans="1:50" s="726" customFormat="1">
      <c r="A115" s="725">
        <v>37683</v>
      </c>
      <c r="B115" s="729"/>
      <c r="C115" s="739"/>
      <c r="D115" s="726">
        <v>-16617</v>
      </c>
      <c r="F115" s="726">
        <v>0</v>
      </c>
      <c r="G115" s="727">
        <f t="shared" si="33"/>
        <v>225300</v>
      </c>
      <c r="I115" s="729">
        <v>22976</v>
      </c>
      <c r="J115" s="727">
        <f t="shared" si="42"/>
        <v>339974</v>
      </c>
      <c r="L115" s="726">
        <v>87836</v>
      </c>
      <c r="N115" s="726">
        <v>0</v>
      </c>
      <c r="O115" s="727">
        <f t="shared" si="79"/>
        <v>87836</v>
      </c>
      <c r="R115" s="727">
        <f t="shared" si="67"/>
        <v>879285</v>
      </c>
      <c r="S115" s="728">
        <f t="shared" si="68"/>
        <v>1.0732489985035532</v>
      </c>
      <c r="T115" s="727">
        <f t="shared" si="69"/>
        <v>94195</v>
      </c>
      <c r="U115" s="726">
        <v>2261</v>
      </c>
      <c r="V115" s="727">
        <f t="shared" si="70"/>
        <v>95973.35</v>
      </c>
      <c r="W115" s="727"/>
      <c r="X115" s="727">
        <f t="shared" si="71"/>
        <v>1433426</v>
      </c>
      <c r="Z115" s="729">
        <f t="shared" si="31"/>
        <v>91934</v>
      </c>
      <c r="AA115" s="727">
        <f t="shared" si="72"/>
        <v>119452.16666666667</v>
      </c>
      <c r="AB115" s="727">
        <f t="shared" si="73"/>
        <v>46038</v>
      </c>
      <c r="AC115" s="728">
        <f t="shared" si="45"/>
        <v>3.2117458452686085E-2</v>
      </c>
      <c r="AF115" s="727">
        <f t="shared" si="74"/>
        <v>2261</v>
      </c>
      <c r="AG115" s="729">
        <f t="shared" si="75"/>
        <v>46038</v>
      </c>
      <c r="AH115" s="729">
        <f t="shared" si="76"/>
        <v>139130.09000000008</v>
      </c>
      <c r="AJ115" s="730">
        <f t="shared" si="32"/>
        <v>22256.44000000001</v>
      </c>
      <c r="AK115" s="727">
        <f t="shared" si="77"/>
        <v>-19995.44000000001</v>
      </c>
      <c r="AL115" s="731">
        <f t="shared" si="46"/>
        <v>399817620.79360038</v>
      </c>
      <c r="AM115" s="729">
        <f t="shared" si="78"/>
        <v>-93092.090000000084</v>
      </c>
      <c r="AQ115" s="726">
        <v>76054</v>
      </c>
      <c r="AR115" s="726">
        <v>0</v>
      </c>
      <c r="AS115" s="726">
        <v>10876</v>
      </c>
      <c r="AT115" s="726">
        <v>42225</v>
      </c>
      <c r="AX115" s="740"/>
    </row>
    <row r="116" spans="1:50" s="726" customFormat="1">
      <c r="A116" s="725">
        <v>37714</v>
      </c>
      <c r="B116" s="729"/>
      <c r="C116" s="739"/>
      <c r="D116" s="726">
        <v>18142</v>
      </c>
      <c r="F116" s="726">
        <v>23882</v>
      </c>
      <c r="G116" s="727">
        <f t="shared" si="33"/>
        <v>249182</v>
      </c>
      <c r="I116" s="729">
        <v>13344</v>
      </c>
      <c r="J116" s="727">
        <f t="shared" si="42"/>
        <v>340270</v>
      </c>
      <c r="L116" s="726">
        <v>45038</v>
      </c>
      <c r="N116" s="726">
        <v>0</v>
      </c>
      <c r="O116" s="727">
        <f t="shared" si="79"/>
        <v>45038</v>
      </c>
      <c r="R116" s="727">
        <f t="shared" si="67"/>
        <v>881124</v>
      </c>
      <c r="S116" s="728">
        <f t="shared" si="68"/>
        <v>1.0581453718359182</v>
      </c>
      <c r="T116" s="727">
        <f t="shared" si="69"/>
        <v>100406</v>
      </c>
      <c r="U116" s="727">
        <v>-957</v>
      </c>
      <c r="V116" s="727">
        <f t="shared" si="70"/>
        <v>98232.15</v>
      </c>
      <c r="W116" s="727"/>
      <c r="X116" s="727">
        <f t="shared" si="71"/>
        <v>1462589</v>
      </c>
      <c r="Z116" s="729">
        <f t="shared" si="31"/>
        <v>101363</v>
      </c>
      <c r="AA116" s="727">
        <f t="shared" si="72"/>
        <v>121882.41666666667</v>
      </c>
      <c r="AB116" s="727">
        <f t="shared" si="73"/>
        <v>74868</v>
      </c>
      <c r="AC116" s="728">
        <f t="shared" si="45"/>
        <v>5.1188679799998499E-2</v>
      </c>
      <c r="AF116" s="727">
        <f t="shared" si="74"/>
        <v>-957</v>
      </c>
      <c r="AG116" s="729">
        <f t="shared" si="75"/>
        <v>74868</v>
      </c>
      <c r="AH116" s="729">
        <f t="shared" si="76"/>
        <v>140976.52000000008</v>
      </c>
      <c r="AJ116" s="730">
        <f t="shared" si="32"/>
        <v>-21976.42</v>
      </c>
      <c r="AK116" s="727">
        <f t="shared" si="77"/>
        <v>21019.42</v>
      </c>
      <c r="AL116" s="731">
        <f t="shared" si="46"/>
        <v>441816017.13639992</v>
      </c>
      <c r="AM116" s="729">
        <f t="shared" si="78"/>
        <v>-66108.520000000062</v>
      </c>
      <c r="AQ116" s="726">
        <v>76054</v>
      </c>
      <c r="AR116" s="726">
        <v>0</v>
      </c>
      <c r="AS116" s="726">
        <v>10876</v>
      </c>
      <c r="AT116" s="726">
        <v>42225</v>
      </c>
      <c r="AX116" s="740"/>
    </row>
    <row r="117" spans="1:50" s="726" customFormat="1">
      <c r="A117" s="725">
        <v>37744</v>
      </c>
      <c r="B117" s="729"/>
      <c r="C117" s="739"/>
      <c r="D117" s="726">
        <v>18222</v>
      </c>
      <c r="F117" s="726">
        <v>-11322</v>
      </c>
      <c r="G117" s="727">
        <f t="shared" si="33"/>
        <v>237860</v>
      </c>
      <c r="I117" s="729">
        <v>11036</v>
      </c>
      <c r="J117" s="727">
        <f t="shared" si="42"/>
        <v>333283</v>
      </c>
      <c r="L117" s="726">
        <v>57957</v>
      </c>
      <c r="N117" s="726">
        <v>6255</v>
      </c>
      <c r="O117" s="727">
        <f t="shared" si="79"/>
        <v>64212</v>
      </c>
      <c r="R117" s="727">
        <f t="shared" si="67"/>
        <v>869791</v>
      </c>
      <c r="S117" s="728">
        <f t="shared" si="68"/>
        <v>1.0367713143459263</v>
      </c>
      <c r="T117" s="727">
        <f t="shared" si="69"/>
        <v>82148</v>
      </c>
      <c r="U117" s="726">
        <v>-30686</v>
      </c>
      <c r="V117" s="727">
        <f t="shared" si="70"/>
        <v>88538.3</v>
      </c>
      <c r="W117" s="727"/>
      <c r="X117" s="727">
        <f t="shared" si="71"/>
        <v>1306935</v>
      </c>
      <c r="Z117" s="729">
        <f t="shared" si="31"/>
        <v>106579</v>
      </c>
      <c r="AA117" s="727">
        <f t="shared" si="72"/>
        <v>108911.25</v>
      </c>
      <c r="AB117" s="727">
        <f t="shared" si="73"/>
        <v>-21511</v>
      </c>
      <c r="AC117" s="728">
        <f t="shared" si="45"/>
        <v>-1.6459120002142419E-2</v>
      </c>
      <c r="AF117" s="727">
        <f t="shared" si="74"/>
        <v>-30686</v>
      </c>
      <c r="AG117" s="729">
        <f t="shared" si="75"/>
        <v>-21511</v>
      </c>
      <c r="AH117" s="729">
        <f t="shared" si="76"/>
        <v>133477.81000000008</v>
      </c>
      <c r="AJ117" s="730">
        <f t="shared" si="32"/>
        <v>1048.7200000000012</v>
      </c>
      <c r="AK117" s="727">
        <f t="shared" si="77"/>
        <v>-31734.720000000001</v>
      </c>
      <c r="AL117" s="731">
        <f t="shared" si="46"/>
        <v>1007092453.4784001</v>
      </c>
      <c r="AM117" s="729">
        <f t="shared" si="78"/>
        <v>-154988.81000000006</v>
      </c>
      <c r="AQ117" s="726">
        <v>76054</v>
      </c>
      <c r="AR117" s="726">
        <v>0</v>
      </c>
      <c r="AS117" s="726">
        <v>10876</v>
      </c>
      <c r="AT117" s="726">
        <v>42225</v>
      </c>
      <c r="AX117" s="740"/>
    </row>
    <row r="118" spans="1:50" s="726" customFormat="1">
      <c r="A118" s="725">
        <v>37775</v>
      </c>
      <c r="B118" s="729"/>
      <c r="C118" s="739"/>
      <c r="D118" s="726">
        <v>-14509</v>
      </c>
      <c r="F118" s="726">
        <v>0</v>
      </c>
      <c r="G118" s="727">
        <f t="shared" si="33"/>
        <v>100625</v>
      </c>
      <c r="I118" s="729">
        <v>7271</v>
      </c>
      <c r="J118" s="727">
        <f t="shared" si="42"/>
        <v>323803</v>
      </c>
      <c r="L118" s="726">
        <v>114033</v>
      </c>
      <c r="N118" s="726">
        <v>0</v>
      </c>
      <c r="O118" s="727">
        <f t="shared" si="79"/>
        <v>114033</v>
      </c>
      <c r="R118" s="727">
        <f t="shared" si="67"/>
        <v>926843</v>
      </c>
      <c r="S118" s="728">
        <f t="shared" si="68"/>
        <v>1.1107658271993173</v>
      </c>
      <c r="T118" s="727">
        <f t="shared" si="69"/>
        <v>106795</v>
      </c>
      <c r="U118" s="727">
        <v>-7475</v>
      </c>
      <c r="V118" s="727">
        <f t="shared" si="70"/>
        <v>98168.55</v>
      </c>
      <c r="W118" s="727"/>
      <c r="X118" s="727">
        <f t="shared" si="71"/>
        <v>1230382</v>
      </c>
      <c r="Z118" s="729">
        <f t="shared" si="31"/>
        <v>114270</v>
      </c>
      <c r="AA118" s="727">
        <f t="shared" si="72"/>
        <v>102531.83333333333</v>
      </c>
      <c r="AB118" s="727">
        <f t="shared" si="73"/>
        <v>-30187</v>
      </c>
      <c r="AC118" s="728">
        <f t="shared" si="45"/>
        <v>-2.4534656716369389E-2</v>
      </c>
      <c r="AF118" s="727">
        <f t="shared" si="74"/>
        <v>-7475</v>
      </c>
      <c r="AG118" s="729">
        <f t="shared" si="75"/>
        <v>-30187</v>
      </c>
      <c r="AH118" s="729">
        <f t="shared" si="76"/>
        <v>182175.37000000005</v>
      </c>
      <c r="AJ118" s="730">
        <f t="shared" si="32"/>
        <v>39395.350000000006</v>
      </c>
      <c r="AK118" s="727">
        <f t="shared" si="77"/>
        <v>-46870.350000000006</v>
      </c>
      <c r="AL118" s="731">
        <f t="shared" si="46"/>
        <v>2196829709.1225004</v>
      </c>
      <c r="AM118" s="729">
        <f t="shared" si="78"/>
        <v>-212362.37000000005</v>
      </c>
      <c r="AQ118" s="726">
        <v>76054</v>
      </c>
      <c r="AR118" s="726">
        <v>0</v>
      </c>
      <c r="AS118" s="726">
        <v>10876</v>
      </c>
      <c r="AT118" s="726">
        <v>42225</v>
      </c>
      <c r="AX118" s="740"/>
    </row>
    <row r="119" spans="1:50" s="726" customFormat="1">
      <c r="A119" s="725">
        <v>37805</v>
      </c>
      <c r="B119" s="729"/>
      <c r="C119" s="739"/>
      <c r="D119" s="726">
        <v>-9972</v>
      </c>
      <c r="F119" s="726">
        <v>-2939</v>
      </c>
      <c r="G119" s="727">
        <f t="shared" si="33"/>
        <v>85032</v>
      </c>
      <c r="I119" s="729">
        <v>10203</v>
      </c>
      <c r="J119" s="727">
        <f t="shared" si="42"/>
        <v>328710</v>
      </c>
      <c r="L119" s="726">
        <v>106418</v>
      </c>
      <c r="N119" s="726">
        <v>0</v>
      </c>
      <c r="O119" s="727">
        <f t="shared" si="79"/>
        <v>106418</v>
      </c>
      <c r="R119" s="727">
        <f t="shared" si="67"/>
        <v>928837</v>
      </c>
      <c r="S119" s="728">
        <f t="shared" si="68"/>
        <v>1.0644000554639432</v>
      </c>
      <c r="T119" s="727">
        <f t="shared" si="69"/>
        <v>103710</v>
      </c>
      <c r="U119" s="727">
        <v>12031</v>
      </c>
      <c r="V119" s="727">
        <f t="shared" si="70"/>
        <v>104789.75</v>
      </c>
      <c r="W119" s="727"/>
      <c r="X119" s="727">
        <f t="shared" si="71"/>
        <v>1230019</v>
      </c>
      <c r="Z119" s="729">
        <f t="shared" si="31"/>
        <v>91679</v>
      </c>
      <c r="AA119" s="727">
        <f t="shared" si="72"/>
        <v>102501.58333333333</v>
      </c>
      <c r="AB119" s="727">
        <f t="shared" si="73"/>
        <v>-16294</v>
      </c>
      <c r="AC119" s="728">
        <f t="shared" si="45"/>
        <v>-1.32469498438642E-2</v>
      </c>
      <c r="AF119" s="727">
        <f t="shared" si="74"/>
        <v>12031</v>
      </c>
      <c r="AG119" s="729">
        <f t="shared" si="75"/>
        <v>-16294</v>
      </c>
      <c r="AH119" s="729">
        <f t="shared" si="76"/>
        <v>186287.01000000007</v>
      </c>
      <c r="AJ119" s="730">
        <f t="shared" si="32"/>
        <v>33662.120000000003</v>
      </c>
      <c r="AK119" s="727">
        <f t="shared" si="77"/>
        <v>-21631.120000000003</v>
      </c>
      <c r="AL119" s="731">
        <f t="shared" si="46"/>
        <v>467905352.45440012</v>
      </c>
      <c r="AM119" s="729">
        <f t="shared" si="78"/>
        <v>-202581.01000000004</v>
      </c>
      <c r="AQ119" s="726">
        <v>76054</v>
      </c>
      <c r="AR119" s="726">
        <v>0</v>
      </c>
      <c r="AS119" s="726">
        <v>10876</v>
      </c>
      <c r="AT119" s="726">
        <v>42225</v>
      </c>
      <c r="AX119" s="740"/>
    </row>
    <row r="120" spans="1:50" s="726" customFormat="1">
      <c r="A120" s="725">
        <v>37836</v>
      </c>
      <c r="B120" s="729"/>
      <c r="C120" s="739"/>
      <c r="D120" s="726">
        <v>33061</v>
      </c>
      <c r="F120" s="726">
        <v>0</v>
      </c>
      <c r="G120" s="727">
        <f t="shared" si="33"/>
        <v>85032</v>
      </c>
      <c r="I120" s="729">
        <v>13477</v>
      </c>
      <c r="J120" s="727">
        <f t="shared" si="42"/>
        <v>335791</v>
      </c>
      <c r="L120" s="726">
        <v>56030</v>
      </c>
      <c r="N120" s="726">
        <v>0</v>
      </c>
      <c r="O120" s="727">
        <f t="shared" si="79"/>
        <v>56030</v>
      </c>
      <c r="R120" s="727">
        <f t="shared" si="67"/>
        <v>905674</v>
      </c>
      <c r="S120" s="728">
        <f t="shared" si="68"/>
        <v>1.0196769410389812</v>
      </c>
      <c r="T120" s="727">
        <f t="shared" si="69"/>
        <v>102568</v>
      </c>
      <c r="U120" s="726">
        <v>21260</v>
      </c>
      <c r="V120" s="727">
        <f t="shared" si="70"/>
        <v>102967.7</v>
      </c>
      <c r="W120" s="727"/>
      <c r="X120" s="727">
        <f t="shared" si="71"/>
        <v>1265688</v>
      </c>
      <c r="Z120" s="729">
        <f t="shared" si="31"/>
        <v>81308</v>
      </c>
      <c r="AA120" s="727">
        <f t="shared" si="72"/>
        <v>105474</v>
      </c>
      <c r="AB120" s="727">
        <f t="shared" si="73"/>
        <v>23688</v>
      </c>
      <c r="AC120" s="728">
        <f t="shared" si="45"/>
        <v>1.8715512827805904E-2</v>
      </c>
      <c r="AF120" s="727">
        <f t="shared" si="74"/>
        <v>21260</v>
      </c>
      <c r="AG120" s="729">
        <f t="shared" si="75"/>
        <v>23688</v>
      </c>
      <c r="AH120" s="729">
        <f t="shared" si="76"/>
        <v>168002.68000000005</v>
      </c>
      <c r="AJ120" s="730">
        <f t="shared" si="32"/>
        <v>-11692.68</v>
      </c>
      <c r="AK120" s="727">
        <f t="shared" si="77"/>
        <v>32952.68</v>
      </c>
      <c r="AL120" s="731">
        <f t="shared" si="46"/>
        <v>1085879119.1824</v>
      </c>
      <c r="AM120" s="729">
        <f t="shared" si="78"/>
        <v>-144314.68000000005</v>
      </c>
      <c r="AQ120" s="726">
        <v>76054</v>
      </c>
      <c r="AR120" s="726">
        <v>0</v>
      </c>
      <c r="AS120" s="726">
        <v>10876</v>
      </c>
      <c r="AT120" s="726">
        <v>42225</v>
      </c>
      <c r="AX120" s="740"/>
    </row>
    <row r="121" spans="1:50" s="726" customFormat="1">
      <c r="A121" s="725">
        <v>37867</v>
      </c>
      <c r="B121" s="729"/>
      <c r="C121" s="739"/>
      <c r="D121" s="726">
        <v>-20643</v>
      </c>
      <c r="F121" s="726">
        <v>0</v>
      </c>
      <c r="G121" s="727">
        <f t="shared" si="33"/>
        <v>66528</v>
      </c>
      <c r="I121" s="729">
        <v>38838</v>
      </c>
      <c r="J121" s="727">
        <f t="shared" si="42"/>
        <v>257166</v>
      </c>
      <c r="L121" s="726">
        <v>103051</v>
      </c>
      <c r="N121" s="726">
        <v>15556</v>
      </c>
      <c r="O121" s="727">
        <f t="shared" si="79"/>
        <v>118607</v>
      </c>
      <c r="R121" s="727">
        <f t="shared" si="67"/>
        <v>990930</v>
      </c>
      <c r="S121" s="728">
        <f t="shared" si="68"/>
        <v>1.164460185809739</v>
      </c>
      <c r="T121" s="727">
        <f t="shared" si="69"/>
        <v>136802</v>
      </c>
      <c r="U121" s="726">
        <v>46674</v>
      </c>
      <c r="V121" s="727">
        <f t="shared" si="70"/>
        <v>124820.1</v>
      </c>
      <c r="W121" s="727"/>
      <c r="X121" s="727">
        <f t="shared" si="71"/>
        <v>1305511</v>
      </c>
      <c r="Z121" s="729">
        <f t="shared" si="31"/>
        <v>74572</v>
      </c>
      <c r="AA121" s="727">
        <f t="shared" si="72"/>
        <v>108792.58333333333</v>
      </c>
      <c r="AB121" s="727">
        <f t="shared" si="73"/>
        <v>61225</v>
      </c>
      <c r="AC121" s="728">
        <f t="shared" si="45"/>
        <v>4.689734517748223E-2</v>
      </c>
      <c r="AF121" s="727">
        <f t="shared" si="74"/>
        <v>46674</v>
      </c>
      <c r="AG121" s="729">
        <f t="shared" si="75"/>
        <v>61225</v>
      </c>
      <c r="AH121" s="729">
        <f t="shared" si="76"/>
        <v>226679.26000000007</v>
      </c>
      <c r="AJ121" s="730">
        <f t="shared" si="32"/>
        <v>73725.990000000005</v>
      </c>
      <c r="AK121" s="727">
        <f t="shared" si="77"/>
        <v>-27051.990000000005</v>
      </c>
      <c r="AL121" s="731">
        <f t="shared" si="46"/>
        <v>731810162.96010029</v>
      </c>
      <c r="AM121" s="729">
        <f t="shared" si="78"/>
        <v>-165454.26000000007</v>
      </c>
      <c r="AQ121" s="726">
        <v>76054</v>
      </c>
      <c r="AR121" s="726">
        <v>0</v>
      </c>
      <c r="AS121" s="726">
        <v>10876</v>
      </c>
      <c r="AT121" s="726">
        <v>42225</v>
      </c>
      <c r="AX121" s="740"/>
    </row>
    <row r="122" spans="1:50" s="726" customFormat="1">
      <c r="A122" s="725">
        <v>37897</v>
      </c>
      <c r="B122" s="729">
        <v>406440.22</v>
      </c>
      <c r="C122" s="741">
        <f>B122/X122*365</f>
        <v>111.43746557736135</v>
      </c>
      <c r="D122" s="726">
        <v>13330</v>
      </c>
      <c r="F122" s="726">
        <v>7602</v>
      </c>
      <c r="G122" s="727">
        <f t="shared" si="33"/>
        <v>64910</v>
      </c>
      <c r="I122" s="729">
        <v>7786</v>
      </c>
      <c r="J122" s="727">
        <f t="shared" si="42"/>
        <v>227976</v>
      </c>
      <c r="L122" s="726">
        <v>135253</v>
      </c>
      <c r="N122" s="726">
        <v>0</v>
      </c>
      <c r="O122" s="727">
        <f t="shared" si="79"/>
        <v>135253</v>
      </c>
      <c r="R122" s="727">
        <f t="shared" si="67"/>
        <v>1016678</v>
      </c>
      <c r="S122" s="728">
        <f t="shared" si="68"/>
        <v>1.1787694016517274</v>
      </c>
      <c r="T122" s="727">
        <f t="shared" si="69"/>
        <v>163971</v>
      </c>
      <c r="U122" s="726">
        <v>68082</v>
      </c>
      <c r="V122" s="727">
        <f t="shared" si="70"/>
        <v>154461.85</v>
      </c>
      <c r="W122" s="727"/>
      <c r="X122" s="727">
        <f t="shared" si="71"/>
        <v>1331246</v>
      </c>
      <c r="Z122" s="729">
        <f t="shared" si="31"/>
        <v>95889</v>
      </c>
      <c r="AA122" s="727">
        <f t="shared" si="72"/>
        <v>110937.16666666667</v>
      </c>
      <c r="AB122" s="727">
        <f t="shared" si="73"/>
        <v>113421</v>
      </c>
      <c r="AC122" s="728">
        <f t="shared" si="45"/>
        <v>8.5199129236820242E-2</v>
      </c>
      <c r="AF122" s="727">
        <f t="shared" si="74"/>
        <v>68082</v>
      </c>
      <c r="AG122" s="729">
        <f t="shared" si="75"/>
        <v>113421</v>
      </c>
      <c r="AH122" s="729">
        <f t="shared" si="76"/>
        <v>237197.50000000009</v>
      </c>
      <c r="AJ122" s="730">
        <f t="shared" si="32"/>
        <v>59366.850000000006</v>
      </c>
      <c r="AK122" s="727">
        <f t="shared" si="77"/>
        <v>8715.1499999999942</v>
      </c>
      <c r="AL122" s="731">
        <f t="shared" si="46"/>
        <v>75953839.522499904</v>
      </c>
      <c r="AM122" s="729">
        <f t="shared" si="78"/>
        <v>-123776.50000000009</v>
      </c>
      <c r="AQ122" s="726">
        <v>76054</v>
      </c>
      <c r="AR122" s="726">
        <v>0</v>
      </c>
      <c r="AS122" s="726">
        <v>10876</v>
      </c>
      <c r="AT122" s="726">
        <v>42225</v>
      </c>
      <c r="AX122" s="740"/>
    </row>
    <row r="123" spans="1:50" s="726" customFormat="1">
      <c r="A123" s="725">
        <v>37928</v>
      </c>
      <c r="B123" s="729"/>
      <c r="C123" s="739"/>
      <c r="D123" s="726">
        <v>14252</v>
      </c>
      <c r="F123" s="726">
        <v>25739</v>
      </c>
      <c r="G123" s="727">
        <f t="shared" si="33"/>
        <v>76345</v>
      </c>
      <c r="I123" s="729">
        <v>20519</v>
      </c>
      <c r="J123" s="727">
        <f t="shared" si="42"/>
        <v>241168</v>
      </c>
      <c r="L123" s="726">
        <v>114801</v>
      </c>
      <c r="N123" s="726">
        <v>0</v>
      </c>
      <c r="O123" s="727">
        <f t="shared" si="79"/>
        <v>114801</v>
      </c>
      <c r="R123" s="727">
        <f t="shared" si="67"/>
        <v>1026228</v>
      </c>
      <c r="S123" s="728">
        <f t="shared" si="68"/>
        <v>1.2587167621124571</v>
      </c>
      <c r="T123" s="727">
        <f t="shared" si="69"/>
        <v>175311</v>
      </c>
      <c r="U123" s="727">
        <v>52810</v>
      </c>
      <c r="V123" s="727">
        <f t="shared" si="70"/>
        <v>171342</v>
      </c>
      <c r="W123" s="727"/>
      <c r="X123" s="727">
        <f t="shared" si="71"/>
        <v>1380061</v>
      </c>
      <c r="Z123" s="729">
        <f t="shared" si="31"/>
        <v>122501</v>
      </c>
      <c r="AA123" s="727">
        <f t="shared" si="72"/>
        <v>115005.08333333333</v>
      </c>
      <c r="AB123" s="727">
        <f t="shared" si="73"/>
        <v>129462</v>
      </c>
      <c r="AC123" s="728">
        <f t="shared" si="45"/>
        <v>9.3808896853110113E-2</v>
      </c>
      <c r="AF123" s="727">
        <f t="shared" si="74"/>
        <v>52810</v>
      </c>
      <c r="AG123" s="729">
        <f t="shared" si="75"/>
        <v>129462</v>
      </c>
      <c r="AH123" s="729">
        <f t="shared" si="76"/>
        <v>247140.32000000007</v>
      </c>
      <c r="AJ123" s="730">
        <f t="shared" si="32"/>
        <v>46203.670000000006</v>
      </c>
      <c r="AK123" s="727">
        <f t="shared" si="77"/>
        <v>6606.3299999999945</v>
      </c>
      <c r="AL123" s="731">
        <f t="shared" si="46"/>
        <v>43643596.06889993</v>
      </c>
      <c r="AM123" s="729">
        <f t="shared" si="78"/>
        <v>-117678.32000000007</v>
      </c>
      <c r="AQ123" s="726">
        <v>76054</v>
      </c>
      <c r="AR123" s="726">
        <v>0</v>
      </c>
      <c r="AS123" s="726">
        <v>10876</v>
      </c>
      <c r="AT123" s="726">
        <v>42225</v>
      </c>
      <c r="AX123" s="740"/>
    </row>
    <row r="124" spans="1:50" s="733" customFormat="1" ht="14" thickBot="1">
      <c r="A124" s="732">
        <v>37958</v>
      </c>
      <c r="B124" s="736"/>
      <c r="C124" s="742"/>
      <c r="D124" s="733">
        <f>-51741+N1240+N1230+N1230</f>
        <v>-51741</v>
      </c>
      <c r="F124" s="733">
        <v>-737</v>
      </c>
      <c r="G124" s="734">
        <f t="shared" si="33"/>
        <v>75608</v>
      </c>
      <c r="I124" s="736">
        <v>56903</v>
      </c>
      <c r="J124" s="734">
        <f t="shared" si="42"/>
        <v>270393</v>
      </c>
      <c r="L124" s="733">
        <v>184833</v>
      </c>
      <c r="N124" s="733">
        <v>0</v>
      </c>
      <c r="O124" s="734">
        <f t="shared" si="79"/>
        <v>184833</v>
      </c>
      <c r="R124" s="734">
        <f t="shared" si="67"/>
        <v>1133562</v>
      </c>
      <c r="S124" s="735">
        <f t="shared" si="68"/>
        <v>1.3652767741003036</v>
      </c>
      <c r="T124" s="734">
        <f t="shared" si="69"/>
        <v>189258</v>
      </c>
      <c r="U124" s="734">
        <v>76652</v>
      </c>
      <c r="V124" s="734">
        <f t="shared" si="70"/>
        <v>184376.55</v>
      </c>
      <c r="W124" s="734"/>
      <c r="X124" s="734">
        <f t="shared" si="71"/>
        <v>1467670</v>
      </c>
      <c r="Z124" s="736">
        <f t="shared" si="31"/>
        <v>112606</v>
      </c>
      <c r="AA124" s="734">
        <f t="shared" si="72"/>
        <v>122305.83333333333</v>
      </c>
      <c r="AB124" s="734">
        <f t="shared" si="73"/>
        <v>233405</v>
      </c>
      <c r="AC124" s="735">
        <f t="shared" si="45"/>
        <v>0.15903098107885288</v>
      </c>
      <c r="AF124" s="734">
        <f t="shared" si="74"/>
        <v>76652</v>
      </c>
      <c r="AG124" s="736">
        <f t="shared" si="75"/>
        <v>233405</v>
      </c>
      <c r="AH124" s="736">
        <f t="shared" si="76"/>
        <v>360404.44000000006</v>
      </c>
      <c r="AJ124" s="737">
        <f t="shared" si="32"/>
        <v>128070.07</v>
      </c>
      <c r="AK124" s="734">
        <f t="shared" si="77"/>
        <v>-51418.070000000007</v>
      </c>
      <c r="AL124" s="738">
        <f t="shared" si="46"/>
        <v>2643817922.5249009</v>
      </c>
      <c r="AM124" s="736">
        <f t="shared" si="78"/>
        <v>-126999.44000000006</v>
      </c>
      <c r="AQ124" s="733">
        <v>76054</v>
      </c>
      <c r="AR124" s="733">
        <v>0</v>
      </c>
      <c r="AS124" s="733">
        <v>10876</v>
      </c>
      <c r="AT124" s="733">
        <v>42225</v>
      </c>
      <c r="AX124" s="743"/>
    </row>
    <row r="125" spans="1:50">
      <c r="A125" s="63">
        <v>37989</v>
      </c>
      <c r="D125">
        <v>20676</v>
      </c>
      <c r="E125">
        <v>0</v>
      </c>
      <c r="F125">
        <v>0</v>
      </c>
      <c r="G125" s="727">
        <f t="shared" si="33"/>
        <v>64747</v>
      </c>
      <c r="I125" s="103">
        <v>35336</v>
      </c>
      <c r="J125" s="727">
        <f t="shared" si="42"/>
        <v>253938</v>
      </c>
      <c r="L125">
        <v>86720</v>
      </c>
      <c r="O125" s="727">
        <f t="shared" si="79"/>
        <v>86720</v>
      </c>
      <c r="R125" s="727">
        <f t="shared" si="67"/>
        <v>1165898</v>
      </c>
      <c r="S125" s="728">
        <f t="shared" ref="S125:S136" si="80">(R125/R113)</f>
        <v>1.3839553961770525</v>
      </c>
      <c r="T125" s="727">
        <f t="shared" ref="T125:T136" si="81">D125+E125+F125+I125+O125</f>
        <v>142732</v>
      </c>
      <c r="U125" s="726">
        <v>36171</v>
      </c>
      <c r="V125" s="727">
        <f t="shared" ref="V125:V136" si="82">(T124*0.35+T125*0.65)</f>
        <v>159016.1</v>
      </c>
      <c r="W125" s="727"/>
      <c r="X125" s="727">
        <f t="shared" ref="X125:X136" si="83">SUM(T114:T125)</f>
        <v>1497172</v>
      </c>
      <c r="Y125" s="726"/>
      <c r="Z125" s="729">
        <f t="shared" ref="Z125:Z136" si="84">T125-U125-N125</f>
        <v>106561</v>
      </c>
      <c r="AA125" s="727">
        <f t="shared" ref="AA125:AA136" si="85">SUM(T114:T125)/12</f>
        <v>124764.33333333333</v>
      </c>
      <c r="AB125" s="727">
        <f t="shared" ref="AB125:AB136" si="86">SUM(U114:U125)</f>
        <v>284577</v>
      </c>
      <c r="AC125" s="728">
        <f t="shared" ref="AC125:AC136" si="87">AB125/X125</f>
        <v>0.19007635729228173</v>
      </c>
      <c r="AD125" s="726"/>
      <c r="AE125" s="726"/>
      <c r="AF125" s="727">
        <f t="shared" ref="AF125:AF136" si="88">U125</f>
        <v>36171</v>
      </c>
      <c r="AG125" s="729">
        <f t="shared" ref="AG125:AG136" si="89">SUM(AF114:AF125)</f>
        <v>284577</v>
      </c>
      <c r="AH125" s="729">
        <f t="shared" ref="AH125:AH136" si="90">SUM(AJ114:AJ125)</f>
        <v>382907.62000000011</v>
      </c>
      <c r="AI125" s="726"/>
      <c r="AJ125" s="730">
        <f t="shared" ref="AJ125:AJ136" si="91">-$AJ$1+I125*$AK$1+O125*$AL$1+N125</f>
        <v>26904.160000000003</v>
      </c>
      <c r="AK125" s="727">
        <f t="shared" ref="AK125:AK136" si="92">AF125-AJ125</f>
        <v>9266.8399999999965</v>
      </c>
      <c r="AL125" s="731">
        <f t="shared" si="46"/>
        <v>85874323.585599929</v>
      </c>
      <c r="AM125" s="729">
        <f t="shared" ref="AM125:AM136" si="93">SUM(AK114:AK125)</f>
        <v>-98330.620000000054</v>
      </c>
      <c r="AN125" s="726"/>
      <c r="AO125" s="726"/>
      <c r="AP125" s="726"/>
      <c r="AQ125" s="726">
        <v>76054</v>
      </c>
      <c r="AR125" s="726">
        <v>0</v>
      </c>
      <c r="AS125" s="726">
        <v>10876</v>
      </c>
      <c r="AT125" s="726">
        <v>42225</v>
      </c>
    </row>
    <row r="126" spans="1:50">
      <c r="A126" s="63">
        <v>38020</v>
      </c>
      <c r="D126">
        <v>13907</v>
      </c>
      <c r="E126">
        <v>0</v>
      </c>
      <c r="F126">
        <v>0</v>
      </c>
      <c r="G126" s="727">
        <f t="shared" si="33"/>
        <v>42225</v>
      </c>
      <c r="I126" s="103">
        <v>55964</v>
      </c>
      <c r="J126" s="727">
        <f t="shared" si="42"/>
        <v>293653</v>
      </c>
      <c r="L126">
        <v>78507</v>
      </c>
      <c r="O126" s="727">
        <f t="shared" si="79"/>
        <v>78507</v>
      </c>
      <c r="R126" s="727">
        <f t="shared" si="67"/>
        <v>1192288</v>
      </c>
      <c r="S126" s="728">
        <f t="shared" si="80"/>
        <v>1.419858691497077</v>
      </c>
      <c r="T126" s="727">
        <f t="shared" si="81"/>
        <v>148378</v>
      </c>
      <c r="U126" s="726">
        <v>32799</v>
      </c>
      <c r="V126" s="727">
        <f t="shared" si="82"/>
        <v>146401.9</v>
      </c>
      <c r="W126" s="727"/>
      <c r="X126" s="727">
        <f t="shared" si="83"/>
        <v>1546274</v>
      </c>
      <c r="Y126" s="726"/>
      <c r="Z126" s="729">
        <f t="shared" si="84"/>
        <v>115579</v>
      </c>
      <c r="AA126" s="727">
        <f t="shared" si="85"/>
        <v>128856.16666666667</v>
      </c>
      <c r="AB126" s="727">
        <f t="shared" si="86"/>
        <v>309622</v>
      </c>
      <c r="AC126" s="728">
        <f t="shared" si="87"/>
        <v>0.20023747408285983</v>
      </c>
      <c r="AD126" s="726"/>
      <c r="AE126" s="726"/>
      <c r="AF126" s="727">
        <f t="shared" si="88"/>
        <v>32799</v>
      </c>
      <c r="AG126" s="729">
        <f t="shared" si="89"/>
        <v>309622</v>
      </c>
      <c r="AH126" s="729">
        <f t="shared" si="90"/>
        <v>425719.22000000003</v>
      </c>
      <c r="AI126" s="726"/>
      <c r="AJ126" s="730">
        <f t="shared" si="91"/>
        <v>28754.950000000012</v>
      </c>
      <c r="AK126" s="727">
        <f t="shared" si="92"/>
        <v>4044.0499999999884</v>
      </c>
      <c r="AL126" s="731">
        <f t="shared" si="46"/>
        <v>16354340.402499907</v>
      </c>
      <c r="AM126" s="729">
        <f t="shared" si="93"/>
        <v>-116097.22000000006</v>
      </c>
      <c r="AN126" s="726"/>
      <c r="AO126" s="726"/>
      <c r="AP126" s="726"/>
      <c r="AQ126" s="726">
        <v>76054</v>
      </c>
      <c r="AR126" s="726">
        <v>0</v>
      </c>
      <c r="AS126" s="726">
        <v>10876</v>
      </c>
      <c r="AT126" s="726">
        <v>42225</v>
      </c>
    </row>
    <row r="127" spans="1:50">
      <c r="A127" s="63">
        <v>38049</v>
      </c>
      <c r="D127">
        <v>-10488</v>
      </c>
      <c r="E127">
        <v>0</v>
      </c>
      <c r="F127">
        <v>0</v>
      </c>
      <c r="G127" s="727">
        <f t="shared" si="33"/>
        <v>42225</v>
      </c>
      <c r="I127" s="103">
        <v>16324</v>
      </c>
      <c r="J127" s="727">
        <f t="shared" si="42"/>
        <v>287001</v>
      </c>
      <c r="L127">
        <v>115348</v>
      </c>
      <c r="O127" s="727">
        <f t="shared" si="79"/>
        <v>115348</v>
      </c>
      <c r="R127" s="727">
        <f t="shared" si="67"/>
        <v>1219800</v>
      </c>
      <c r="S127" s="728">
        <f t="shared" si="80"/>
        <v>1.3872635152424981</v>
      </c>
      <c r="T127" s="727">
        <f t="shared" si="81"/>
        <v>121184</v>
      </c>
      <c r="U127" s="726">
        <v>12430</v>
      </c>
      <c r="V127" s="727">
        <f t="shared" si="82"/>
        <v>130701.9</v>
      </c>
      <c r="W127" s="727"/>
      <c r="X127" s="727">
        <f t="shared" si="83"/>
        <v>1573263</v>
      </c>
      <c r="Y127" s="726"/>
      <c r="Z127" s="729">
        <f t="shared" si="84"/>
        <v>108754</v>
      </c>
      <c r="AA127" s="727">
        <f t="shared" si="85"/>
        <v>131105.25</v>
      </c>
      <c r="AB127" s="727">
        <f t="shared" si="86"/>
        <v>319791</v>
      </c>
      <c r="AC127" s="728">
        <f t="shared" si="87"/>
        <v>0.20326607820815717</v>
      </c>
      <c r="AD127" s="726"/>
      <c r="AE127" s="726"/>
      <c r="AF127" s="727">
        <f t="shared" si="88"/>
        <v>12430</v>
      </c>
      <c r="AG127" s="729">
        <f t="shared" si="89"/>
        <v>319791</v>
      </c>
      <c r="AH127" s="729">
        <f t="shared" si="90"/>
        <v>448245.46000000008</v>
      </c>
      <c r="AI127" s="726"/>
      <c r="AJ127" s="730">
        <f t="shared" si="91"/>
        <v>44782.68</v>
      </c>
      <c r="AK127" s="727">
        <f t="shared" si="92"/>
        <v>-32352.68</v>
      </c>
      <c r="AL127" s="731">
        <f t="shared" si="46"/>
        <v>1046695903.1824</v>
      </c>
      <c r="AM127" s="729">
        <f t="shared" si="93"/>
        <v>-128454.46000000005</v>
      </c>
      <c r="AN127" s="726"/>
      <c r="AO127" s="726"/>
      <c r="AP127" s="726"/>
      <c r="AQ127" s="726">
        <v>76054</v>
      </c>
      <c r="AR127" s="726">
        <v>0</v>
      </c>
      <c r="AS127" s="726">
        <v>10876</v>
      </c>
      <c r="AT127" s="726">
        <v>42225</v>
      </c>
    </row>
    <row r="128" spans="1:50">
      <c r="A128" s="63">
        <v>38080</v>
      </c>
      <c r="D128">
        <v>952</v>
      </c>
      <c r="E128">
        <v>0</v>
      </c>
      <c r="F128">
        <v>0</v>
      </c>
      <c r="G128" s="727">
        <f t="shared" si="33"/>
        <v>18343</v>
      </c>
      <c r="I128" s="103">
        <v>40720</v>
      </c>
      <c r="J128" s="727">
        <f t="shared" si="42"/>
        <v>314377</v>
      </c>
      <c r="L128">
        <v>134537</v>
      </c>
      <c r="O128" s="727">
        <f t="shared" si="79"/>
        <v>134537</v>
      </c>
      <c r="R128" s="727">
        <f t="shared" si="67"/>
        <v>1309299</v>
      </c>
      <c r="S128" s="728">
        <f t="shared" si="80"/>
        <v>1.4859418197665708</v>
      </c>
      <c r="T128" s="727">
        <f t="shared" si="81"/>
        <v>176209</v>
      </c>
      <c r="U128" s="727">
        <v>79871</v>
      </c>
      <c r="V128" s="727">
        <f t="shared" si="82"/>
        <v>156950.25</v>
      </c>
      <c r="W128" s="727"/>
      <c r="X128" s="727">
        <f t="shared" si="83"/>
        <v>1649066</v>
      </c>
      <c r="Y128" s="726"/>
      <c r="Z128" s="729">
        <f t="shared" si="84"/>
        <v>96338</v>
      </c>
      <c r="AA128" s="727">
        <f t="shared" si="85"/>
        <v>137422.16666666666</v>
      </c>
      <c r="AB128" s="727">
        <f t="shared" si="86"/>
        <v>400619</v>
      </c>
      <c r="AC128" s="728">
        <f t="shared" si="87"/>
        <v>0.24293691095444331</v>
      </c>
      <c r="AD128" s="726"/>
      <c r="AE128" s="726"/>
      <c r="AF128" s="727">
        <f t="shared" si="88"/>
        <v>79871</v>
      </c>
      <c r="AG128" s="729">
        <f t="shared" si="89"/>
        <v>400619</v>
      </c>
      <c r="AH128" s="729">
        <f t="shared" si="90"/>
        <v>544072.49</v>
      </c>
      <c r="AI128" s="726"/>
      <c r="AJ128" s="730">
        <f t="shared" si="91"/>
        <v>73850.61</v>
      </c>
      <c r="AK128" s="727">
        <f t="shared" si="92"/>
        <v>6020.3899999999994</v>
      </c>
      <c r="AL128" s="731">
        <f t="shared" si="46"/>
        <v>36245095.752099991</v>
      </c>
      <c r="AM128" s="729">
        <f t="shared" si="93"/>
        <v>-143453.49000000005</v>
      </c>
      <c r="AN128" s="726"/>
      <c r="AO128" s="726"/>
      <c r="AP128" s="726"/>
      <c r="AQ128" s="726">
        <v>76054</v>
      </c>
      <c r="AR128" s="726">
        <v>0</v>
      </c>
      <c r="AS128" s="726">
        <v>10876</v>
      </c>
      <c r="AT128" s="726">
        <v>42225</v>
      </c>
    </row>
    <row r="129" spans="1:46">
      <c r="A129" s="63">
        <v>38110</v>
      </c>
      <c r="D129">
        <v>20507</v>
      </c>
      <c r="E129">
        <v>0</v>
      </c>
      <c r="F129">
        <v>0</v>
      </c>
      <c r="G129" s="727">
        <f t="shared" si="33"/>
        <v>29665</v>
      </c>
      <c r="I129" s="103">
        <v>26315</v>
      </c>
      <c r="J129" s="727">
        <f t="shared" si="42"/>
        <v>329656</v>
      </c>
      <c r="L129">
        <v>50492</v>
      </c>
      <c r="O129" s="727">
        <f t="shared" si="79"/>
        <v>50492</v>
      </c>
      <c r="R129" s="727">
        <f t="shared" si="67"/>
        <v>1295579</v>
      </c>
      <c r="S129" s="728">
        <f t="shared" si="80"/>
        <v>1.4895290937708023</v>
      </c>
      <c r="T129" s="727">
        <f t="shared" si="81"/>
        <v>97314</v>
      </c>
      <c r="U129" s="726">
        <v>-19813</v>
      </c>
      <c r="V129" s="727">
        <f t="shared" si="82"/>
        <v>124927.25</v>
      </c>
      <c r="W129" s="727"/>
      <c r="X129" s="727">
        <f t="shared" si="83"/>
        <v>1664232</v>
      </c>
      <c r="Y129" s="726"/>
      <c r="Z129" s="729">
        <f t="shared" si="84"/>
        <v>117127</v>
      </c>
      <c r="AA129" s="727">
        <f t="shared" si="85"/>
        <v>138686</v>
      </c>
      <c r="AB129" s="727">
        <f t="shared" si="86"/>
        <v>411492</v>
      </c>
      <c r="AC129" s="728">
        <f t="shared" si="87"/>
        <v>0.24725639213763465</v>
      </c>
      <c r="AD129" s="726"/>
      <c r="AE129" s="726"/>
      <c r="AF129" s="727">
        <f t="shared" si="88"/>
        <v>-19813</v>
      </c>
      <c r="AG129" s="729">
        <f t="shared" si="89"/>
        <v>411492</v>
      </c>
      <c r="AH129" s="729">
        <f t="shared" si="90"/>
        <v>532086.23</v>
      </c>
      <c r="AI129" s="726"/>
      <c r="AJ129" s="730">
        <f t="shared" si="91"/>
        <v>-10937.539999999994</v>
      </c>
      <c r="AK129" s="727">
        <f t="shared" si="92"/>
        <v>-8875.4600000000064</v>
      </c>
      <c r="AL129" s="731">
        <f t="shared" si="46"/>
        <v>78773790.21160011</v>
      </c>
      <c r="AM129" s="729">
        <f t="shared" si="93"/>
        <v>-120594.23000000004</v>
      </c>
      <c r="AN129" s="726"/>
      <c r="AO129" s="726"/>
      <c r="AP129" s="726"/>
      <c r="AQ129" s="726">
        <v>76054</v>
      </c>
      <c r="AR129" s="726">
        <v>0</v>
      </c>
      <c r="AS129" s="726">
        <v>10876</v>
      </c>
      <c r="AT129" s="726">
        <v>42225</v>
      </c>
    </row>
    <row r="130" spans="1:46">
      <c r="A130" s="63">
        <v>38141</v>
      </c>
      <c r="D130">
        <v>-23191</v>
      </c>
      <c r="E130">
        <v>0</v>
      </c>
      <c r="F130">
        <v>11214</v>
      </c>
      <c r="G130" s="727">
        <f t="shared" si="33"/>
        <v>40879</v>
      </c>
      <c r="I130" s="103">
        <v>24759</v>
      </c>
      <c r="J130" s="727">
        <f t="shared" si="42"/>
        <v>347144</v>
      </c>
      <c r="L130">
        <v>146972</v>
      </c>
      <c r="O130" s="727">
        <f t="shared" si="79"/>
        <v>146972</v>
      </c>
      <c r="R130" s="727">
        <f t="shared" si="67"/>
        <v>1328518</v>
      </c>
      <c r="S130" s="728">
        <f t="shared" si="80"/>
        <v>1.4333797633471903</v>
      </c>
      <c r="T130" s="727">
        <f t="shared" si="81"/>
        <v>159754</v>
      </c>
      <c r="U130" s="727">
        <v>23256</v>
      </c>
      <c r="V130" s="727">
        <f t="shared" si="82"/>
        <v>137900</v>
      </c>
      <c r="W130" s="727"/>
      <c r="X130" s="727">
        <f t="shared" si="83"/>
        <v>1717191</v>
      </c>
      <c r="Y130" s="726"/>
      <c r="Z130" s="729">
        <f t="shared" si="84"/>
        <v>136498</v>
      </c>
      <c r="AA130" s="727">
        <f t="shared" si="85"/>
        <v>143099.25</v>
      </c>
      <c r="AB130" s="727">
        <f t="shared" si="86"/>
        <v>442223</v>
      </c>
      <c r="AC130" s="728">
        <f t="shared" si="87"/>
        <v>0.25752697282946391</v>
      </c>
      <c r="AD130" s="726"/>
      <c r="AE130" s="726"/>
      <c r="AF130" s="727">
        <f t="shared" si="88"/>
        <v>23256</v>
      </c>
      <c r="AG130" s="729">
        <f t="shared" si="89"/>
        <v>442223</v>
      </c>
      <c r="AH130" s="729">
        <f t="shared" si="90"/>
        <v>570763.9800000001</v>
      </c>
      <c r="AI130" s="726"/>
      <c r="AJ130" s="730">
        <f t="shared" si="91"/>
        <v>78073.10000000002</v>
      </c>
      <c r="AK130" s="727">
        <f t="shared" si="92"/>
        <v>-54817.10000000002</v>
      </c>
      <c r="AL130" s="731">
        <f t="shared" si="46"/>
        <v>3004914452.4100022</v>
      </c>
      <c r="AM130" s="729">
        <f t="shared" si="93"/>
        <v>-128540.98000000007</v>
      </c>
      <c r="AN130" s="726"/>
      <c r="AO130" s="726"/>
      <c r="AP130" s="726"/>
      <c r="AQ130" s="726">
        <v>76054</v>
      </c>
      <c r="AR130" s="726">
        <v>0</v>
      </c>
      <c r="AS130" s="726">
        <v>10876</v>
      </c>
      <c r="AT130" s="726">
        <v>42225</v>
      </c>
    </row>
    <row r="131" spans="1:46">
      <c r="A131" s="63">
        <v>38171</v>
      </c>
      <c r="D131">
        <v>15414</v>
      </c>
      <c r="E131">
        <v>2395</v>
      </c>
      <c r="F131">
        <v>5406</v>
      </c>
      <c r="G131" s="727">
        <f t="shared" si="33"/>
        <v>49224</v>
      </c>
      <c r="I131" s="103">
        <v>13849</v>
      </c>
      <c r="J131" s="727">
        <f t="shared" si="42"/>
        <v>350790</v>
      </c>
      <c r="L131">
        <v>131827</v>
      </c>
      <c r="O131" s="727">
        <f t="shared" si="79"/>
        <v>131827</v>
      </c>
      <c r="R131" s="727">
        <f t="shared" si="67"/>
        <v>1353927</v>
      </c>
      <c r="S131" s="728">
        <f t="shared" si="80"/>
        <v>1.4576583404838523</v>
      </c>
      <c r="T131" s="727">
        <f t="shared" si="81"/>
        <v>168891</v>
      </c>
      <c r="U131" s="727">
        <v>-12303</v>
      </c>
      <c r="V131" s="727">
        <f t="shared" si="82"/>
        <v>165693.04999999999</v>
      </c>
      <c r="W131" s="727"/>
      <c r="X131" s="727">
        <f t="shared" si="83"/>
        <v>1782372</v>
      </c>
      <c r="Y131" s="726"/>
      <c r="Z131" s="729">
        <f t="shared" si="84"/>
        <v>181194</v>
      </c>
      <c r="AA131" s="727">
        <f t="shared" si="85"/>
        <v>148531</v>
      </c>
      <c r="AB131" s="727">
        <f t="shared" si="86"/>
        <v>417889</v>
      </c>
      <c r="AC131" s="728">
        <f t="shared" si="87"/>
        <v>0.2344566678560929</v>
      </c>
      <c r="AD131" s="726"/>
      <c r="AE131" s="726"/>
      <c r="AF131" s="727">
        <f t="shared" si="88"/>
        <v>-12303</v>
      </c>
      <c r="AG131" s="729">
        <f t="shared" si="89"/>
        <v>417889</v>
      </c>
      <c r="AH131" s="729">
        <f t="shared" si="90"/>
        <v>596071.51000000013</v>
      </c>
      <c r="AI131" s="726"/>
      <c r="AJ131" s="730">
        <f t="shared" si="91"/>
        <v>58969.65</v>
      </c>
      <c r="AK131" s="727">
        <f t="shared" si="92"/>
        <v>-71272.649999999994</v>
      </c>
      <c r="AL131" s="731">
        <f t="shared" si="46"/>
        <v>5079790638.0224991</v>
      </c>
      <c r="AM131" s="729">
        <f t="shared" si="93"/>
        <v>-178182.51000000007</v>
      </c>
      <c r="AN131" s="726"/>
      <c r="AO131" s="726"/>
      <c r="AP131" s="726"/>
      <c r="AQ131" s="726">
        <v>76054</v>
      </c>
      <c r="AR131" s="726">
        <v>0</v>
      </c>
      <c r="AS131" s="726">
        <v>10876</v>
      </c>
      <c r="AT131" s="726">
        <v>42225</v>
      </c>
    </row>
    <row r="132" spans="1:46">
      <c r="A132" s="63">
        <v>38202</v>
      </c>
      <c r="B132" s="103">
        <v>384513</v>
      </c>
      <c r="C132" s="741">
        <f>B132/X132*365</f>
        <v>79.173736594215782</v>
      </c>
      <c r="D132">
        <v>-24255</v>
      </c>
      <c r="E132">
        <v>24635</v>
      </c>
      <c r="F132">
        <v>828</v>
      </c>
      <c r="G132" s="727">
        <f t="shared" si="33"/>
        <v>50052</v>
      </c>
      <c r="I132" s="103">
        <v>36608</v>
      </c>
      <c r="J132" s="727">
        <f t="shared" si="42"/>
        <v>373921</v>
      </c>
      <c r="L132">
        <v>55029</v>
      </c>
      <c r="O132" s="727">
        <f t="shared" si="79"/>
        <v>55029</v>
      </c>
      <c r="R132" s="727">
        <f t="shared" si="67"/>
        <v>1352926</v>
      </c>
      <c r="S132" s="728">
        <f t="shared" si="80"/>
        <v>1.4938333219237827</v>
      </c>
      <c r="T132" s="727">
        <f t="shared" si="81"/>
        <v>92845</v>
      </c>
      <c r="U132" s="726">
        <v>-35614</v>
      </c>
      <c r="V132" s="727">
        <f t="shared" si="82"/>
        <v>119461.1</v>
      </c>
      <c r="W132" s="727"/>
      <c r="X132" s="727">
        <f t="shared" si="83"/>
        <v>1772649</v>
      </c>
      <c r="Y132" s="726"/>
      <c r="Z132" s="729">
        <f t="shared" si="84"/>
        <v>128459</v>
      </c>
      <c r="AA132" s="727">
        <f t="shared" si="85"/>
        <v>147720.75</v>
      </c>
      <c r="AB132" s="727">
        <f t="shared" si="86"/>
        <v>361015</v>
      </c>
      <c r="AC132" s="728">
        <f t="shared" si="87"/>
        <v>0.20365847948465826</v>
      </c>
      <c r="AD132" s="726"/>
      <c r="AE132" s="726"/>
      <c r="AF132" s="727">
        <f t="shared" si="88"/>
        <v>-35614</v>
      </c>
      <c r="AG132" s="729">
        <f t="shared" si="89"/>
        <v>361015</v>
      </c>
      <c r="AH132" s="729">
        <f t="shared" si="90"/>
        <v>605780.8400000002</v>
      </c>
      <c r="AI132" s="726"/>
      <c r="AJ132" s="730">
        <f t="shared" si="91"/>
        <v>-1983.3499999999985</v>
      </c>
      <c r="AK132" s="727">
        <f t="shared" si="92"/>
        <v>-33630.65</v>
      </c>
      <c r="AL132" s="731">
        <f t="shared" si="46"/>
        <v>1131020619.4225001</v>
      </c>
      <c r="AM132" s="729">
        <f t="shared" si="93"/>
        <v>-244765.84000000005</v>
      </c>
      <c r="AN132" s="726"/>
      <c r="AO132" s="726"/>
      <c r="AP132" s="726"/>
      <c r="AQ132" s="726">
        <v>76054</v>
      </c>
      <c r="AR132" s="726">
        <v>0</v>
      </c>
      <c r="AS132" s="726">
        <v>10876</v>
      </c>
      <c r="AT132" s="726">
        <v>42225</v>
      </c>
    </row>
    <row r="133" spans="1:46">
      <c r="A133" s="63">
        <v>38233</v>
      </c>
      <c r="G133" s="727">
        <f t="shared" si="33"/>
        <v>50052</v>
      </c>
      <c r="J133" s="727">
        <f t="shared" si="42"/>
        <v>335083</v>
      </c>
      <c r="O133" s="727">
        <f t="shared" si="79"/>
        <v>0</v>
      </c>
      <c r="R133" s="727">
        <f t="shared" si="67"/>
        <v>1234319</v>
      </c>
      <c r="S133" s="728">
        <f t="shared" si="80"/>
        <v>1.2456167438668726</v>
      </c>
      <c r="T133" s="727">
        <f t="shared" si="81"/>
        <v>0</v>
      </c>
      <c r="U133" s="726"/>
      <c r="V133" s="727">
        <f t="shared" si="82"/>
        <v>32495.749999999996</v>
      </c>
      <c r="W133" s="727"/>
      <c r="X133" s="727">
        <f t="shared" si="83"/>
        <v>1635847</v>
      </c>
      <c r="Y133" s="726"/>
      <c r="Z133" s="729">
        <f t="shared" si="84"/>
        <v>0</v>
      </c>
      <c r="AA133" s="727">
        <f t="shared" si="85"/>
        <v>136320.58333333334</v>
      </c>
      <c r="AB133" s="727">
        <f t="shared" si="86"/>
        <v>314341</v>
      </c>
      <c r="AC133" s="728">
        <f t="shared" si="87"/>
        <v>0.19215794631160493</v>
      </c>
      <c r="AD133" s="726"/>
      <c r="AE133" s="726"/>
      <c r="AF133" s="727">
        <f t="shared" si="88"/>
        <v>0</v>
      </c>
      <c r="AG133" s="729">
        <f t="shared" si="89"/>
        <v>314341</v>
      </c>
      <c r="AH133" s="729">
        <f t="shared" si="90"/>
        <v>462054.85000000009</v>
      </c>
      <c r="AI133" s="726"/>
      <c r="AJ133" s="730">
        <f t="shared" si="91"/>
        <v>-70000</v>
      </c>
      <c r="AK133" s="727">
        <f t="shared" si="92"/>
        <v>70000</v>
      </c>
      <c r="AL133" s="731">
        <f t="shared" si="46"/>
        <v>4900000000</v>
      </c>
      <c r="AM133" s="729">
        <f t="shared" si="93"/>
        <v>-147713.85000000006</v>
      </c>
      <c r="AN133" s="726"/>
      <c r="AO133" s="726"/>
      <c r="AP133" s="726"/>
      <c r="AQ133" s="726">
        <v>76054</v>
      </c>
      <c r="AR133" s="726">
        <v>0</v>
      </c>
      <c r="AS133" s="726">
        <v>10876</v>
      </c>
      <c r="AT133" s="726">
        <v>42225</v>
      </c>
    </row>
    <row r="134" spans="1:46">
      <c r="A134" s="63">
        <v>38263</v>
      </c>
      <c r="G134" s="727">
        <f t="shared" si="33"/>
        <v>42450</v>
      </c>
      <c r="J134" s="727">
        <f t="shared" si="42"/>
        <v>327297</v>
      </c>
      <c r="O134" s="727">
        <f t="shared" si="79"/>
        <v>0</v>
      </c>
      <c r="R134" s="727">
        <f t="shared" si="67"/>
        <v>1099066</v>
      </c>
      <c r="S134" s="728">
        <f t="shared" si="80"/>
        <v>1.0810364736917686</v>
      </c>
      <c r="T134" s="727">
        <f t="shared" si="81"/>
        <v>0</v>
      </c>
      <c r="U134" s="726"/>
      <c r="V134" s="727">
        <f t="shared" si="82"/>
        <v>0</v>
      </c>
      <c r="W134" s="727"/>
      <c r="X134" s="727">
        <f t="shared" si="83"/>
        <v>1471876</v>
      </c>
      <c r="Y134" s="726"/>
      <c r="Z134" s="729">
        <f t="shared" si="84"/>
        <v>0</v>
      </c>
      <c r="AA134" s="727">
        <f t="shared" si="85"/>
        <v>122656.33333333333</v>
      </c>
      <c r="AB134" s="727">
        <f t="shared" si="86"/>
        <v>246259</v>
      </c>
      <c r="AC134" s="728">
        <f t="shared" si="87"/>
        <v>0.16730961032043459</v>
      </c>
      <c r="AD134" s="726"/>
      <c r="AE134" s="726"/>
      <c r="AF134" s="727">
        <f t="shared" si="88"/>
        <v>0</v>
      </c>
      <c r="AG134" s="729">
        <f t="shared" si="89"/>
        <v>246259</v>
      </c>
      <c r="AH134" s="729">
        <f t="shared" si="90"/>
        <v>332688.00000000012</v>
      </c>
      <c r="AI134" s="726"/>
      <c r="AJ134" s="730">
        <f t="shared" si="91"/>
        <v>-70000</v>
      </c>
      <c r="AK134" s="727">
        <f t="shared" si="92"/>
        <v>70000</v>
      </c>
      <c r="AL134" s="731">
        <f t="shared" si="46"/>
        <v>4900000000</v>
      </c>
      <c r="AM134" s="729">
        <f t="shared" si="93"/>
        <v>-86429.000000000029</v>
      </c>
      <c r="AN134" s="726"/>
      <c r="AO134" s="726"/>
      <c r="AP134" s="726"/>
      <c r="AQ134" s="726">
        <v>76054</v>
      </c>
      <c r="AR134" s="726">
        <v>0</v>
      </c>
      <c r="AS134" s="726">
        <v>10876</v>
      </c>
      <c r="AT134" s="726">
        <v>42225</v>
      </c>
    </row>
    <row r="135" spans="1:46">
      <c r="A135" s="63">
        <v>38294</v>
      </c>
      <c r="G135" s="727">
        <f>SUM(F124:F135)</f>
        <v>16711</v>
      </c>
      <c r="J135" s="727">
        <f t="shared" si="42"/>
        <v>306778</v>
      </c>
      <c r="O135" s="727">
        <f t="shared" si="79"/>
        <v>0</v>
      </c>
      <c r="R135" s="727">
        <f t="shared" si="67"/>
        <v>984265</v>
      </c>
      <c r="S135" s="728">
        <f t="shared" si="80"/>
        <v>0.95910947664651525</v>
      </c>
      <c r="T135" s="727">
        <f t="shared" si="81"/>
        <v>0</v>
      </c>
      <c r="U135" s="727"/>
      <c r="V135" s="727">
        <f t="shared" si="82"/>
        <v>0</v>
      </c>
      <c r="W135" s="727"/>
      <c r="X135" s="727">
        <f t="shared" si="83"/>
        <v>1296565</v>
      </c>
      <c r="Y135" s="726"/>
      <c r="Z135" s="729">
        <f t="shared" si="84"/>
        <v>0</v>
      </c>
      <c r="AA135" s="727">
        <f t="shared" si="85"/>
        <v>108047.08333333333</v>
      </c>
      <c r="AB135" s="727">
        <f t="shared" si="86"/>
        <v>193449</v>
      </c>
      <c r="AC135" s="728">
        <f t="shared" si="87"/>
        <v>0.14920115844558507</v>
      </c>
      <c r="AD135" s="726"/>
      <c r="AE135" s="726"/>
      <c r="AF135" s="727">
        <f t="shared" si="88"/>
        <v>0</v>
      </c>
      <c r="AG135" s="729">
        <f t="shared" si="89"/>
        <v>193449</v>
      </c>
      <c r="AH135" s="729">
        <f t="shared" si="90"/>
        <v>216484.33000000013</v>
      </c>
      <c r="AI135" s="726"/>
      <c r="AJ135" s="730">
        <f t="shared" si="91"/>
        <v>-70000</v>
      </c>
      <c r="AK135" s="727">
        <f t="shared" si="92"/>
        <v>70000</v>
      </c>
      <c r="AL135" s="731">
        <f t="shared" si="46"/>
        <v>4900000000</v>
      </c>
      <c r="AM135" s="729">
        <f t="shared" si="93"/>
        <v>-23035.330000000045</v>
      </c>
      <c r="AN135" s="726"/>
      <c r="AO135" s="726"/>
      <c r="AP135" s="726"/>
      <c r="AQ135" s="726">
        <v>76054</v>
      </c>
      <c r="AR135" s="726">
        <v>0</v>
      </c>
      <c r="AS135" s="726">
        <v>10876</v>
      </c>
      <c r="AT135" s="726">
        <v>42225</v>
      </c>
    </row>
    <row r="136" spans="1:46" ht="14" thickBot="1">
      <c r="A136" s="63">
        <v>38324</v>
      </c>
      <c r="G136" s="734">
        <f>SUM(F125:F136)</f>
        <v>17448</v>
      </c>
      <c r="J136" s="734">
        <f t="shared" si="42"/>
        <v>249875</v>
      </c>
      <c r="O136" s="734">
        <f t="shared" si="79"/>
        <v>0</v>
      </c>
      <c r="R136" s="734">
        <f t="shared" si="67"/>
        <v>799432</v>
      </c>
      <c r="S136" s="735">
        <f t="shared" si="80"/>
        <v>0.70523888415454994</v>
      </c>
      <c r="T136" s="734">
        <f t="shared" si="81"/>
        <v>0</v>
      </c>
      <c r="U136" s="734"/>
      <c r="V136" s="734">
        <f t="shared" si="82"/>
        <v>0</v>
      </c>
      <c r="W136" s="734"/>
      <c r="X136" s="734">
        <f t="shared" si="83"/>
        <v>1107307</v>
      </c>
      <c r="Y136" s="733"/>
      <c r="Z136" s="736">
        <f t="shared" si="84"/>
        <v>0</v>
      </c>
      <c r="AA136" s="734">
        <f t="shared" si="85"/>
        <v>92275.583333333328</v>
      </c>
      <c r="AB136" s="734">
        <f t="shared" si="86"/>
        <v>116797</v>
      </c>
      <c r="AC136" s="735">
        <f t="shared" si="87"/>
        <v>0.10547842648876959</v>
      </c>
      <c r="AD136" s="733"/>
      <c r="AE136" s="733"/>
      <c r="AF136" s="734">
        <f t="shared" si="88"/>
        <v>0</v>
      </c>
      <c r="AG136" s="736">
        <f t="shared" si="89"/>
        <v>116797</v>
      </c>
      <c r="AH136" s="736">
        <f t="shared" si="90"/>
        <v>18414.260000000126</v>
      </c>
      <c r="AI136" s="733"/>
      <c r="AJ136" s="737">
        <f t="shared" si="91"/>
        <v>-70000</v>
      </c>
      <c r="AK136" s="734">
        <f t="shared" si="92"/>
        <v>70000</v>
      </c>
      <c r="AL136" s="738">
        <f t="shared" si="46"/>
        <v>4900000000</v>
      </c>
      <c r="AM136" s="736">
        <f t="shared" si="93"/>
        <v>98382.739999999962</v>
      </c>
      <c r="AN136" s="733"/>
      <c r="AO136" s="733"/>
      <c r="AP136" s="733"/>
      <c r="AQ136" s="733">
        <v>76054</v>
      </c>
      <c r="AR136" s="733">
        <v>0</v>
      </c>
      <c r="AS136" s="733">
        <v>10876</v>
      </c>
      <c r="AT136" s="733">
        <v>42225</v>
      </c>
    </row>
    <row r="137" spans="1:46">
      <c r="A137" s="63">
        <v>38355</v>
      </c>
      <c r="AQ137" s="260" t="s">
        <v>1043</v>
      </c>
    </row>
    <row r="138" spans="1:46" ht="14" thickBot="1">
      <c r="A138" s="63">
        <v>38386</v>
      </c>
      <c r="B138" s="103" t="s">
        <v>28</v>
      </c>
      <c r="D138">
        <v>0</v>
      </c>
      <c r="E138">
        <v>0</v>
      </c>
      <c r="F138">
        <v>0</v>
      </c>
      <c r="G138">
        <v>0</v>
      </c>
      <c r="H138">
        <v>0</v>
      </c>
      <c r="I138" s="103">
        <v>11214</v>
      </c>
      <c r="J138">
        <v>5406</v>
      </c>
      <c r="K138">
        <v>828</v>
      </c>
      <c r="L138">
        <v>0</v>
      </c>
      <c r="M138">
        <v>0</v>
      </c>
      <c r="N138">
        <v>0</v>
      </c>
      <c r="O138">
        <v>0</v>
      </c>
      <c r="P138">
        <v>17448</v>
      </c>
      <c r="AF138" s="103">
        <f>MAX(AF5:AF136)</f>
        <v>87223</v>
      </c>
      <c r="AQ138" s="688">
        <f>LINEST(AF77:AF101,AQ77:AT101,TRUE,TRUE)</f>
        <v>0.80273323689306775</v>
      </c>
    </row>
    <row r="139" spans="1:46">
      <c r="A139" s="63">
        <v>38414</v>
      </c>
      <c r="B139" s="103" t="s">
        <v>29</v>
      </c>
      <c r="D139">
        <v>86720</v>
      </c>
      <c r="E139">
        <v>78507</v>
      </c>
      <c r="F139">
        <v>115348</v>
      </c>
      <c r="G139">
        <v>134537</v>
      </c>
      <c r="H139">
        <v>50492</v>
      </c>
      <c r="I139" s="103">
        <v>146972</v>
      </c>
      <c r="J139">
        <v>131827</v>
      </c>
      <c r="K139">
        <v>55029</v>
      </c>
      <c r="L139">
        <v>0</v>
      </c>
      <c r="M139">
        <v>0</v>
      </c>
      <c r="N139">
        <v>0</v>
      </c>
      <c r="O139">
        <v>0</v>
      </c>
      <c r="P139">
        <v>799433</v>
      </c>
    </row>
    <row r="140" spans="1:46">
      <c r="A140" s="63">
        <v>38445</v>
      </c>
      <c r="B140" s="103" t="s">
        <v>17</v>
      </c>
      <c r="C140" s="481" t="s">
        <v>18</v>
      </c>
      <c r="D140">
        <v>0</v>
      </c>
      <c r="E140">
        <v>0</v>
      </c>
      <c r="F140">
        <v>0</v>
      </c>
      <c r="G140">
        <v>0</v>
      </c>
      <c r="H140">
        <v>0</v>
      </c>
      <c r="I140" s="103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46">
      <c r="A141" s="63">
        <v>38475</v>
      </c>
      <c r="B141" s="103" t="s">
        <v>19</v>
      </c>
      <c r="D141">
        <v>35336</v>
      </c>
      <c r="E141">
        <v>55964</v>
      </c>
      <c r="F141">
        <v>16324</v>
      </c>
      <c r="G141">
        <v>40720</v>
      </c>
      <c r="H141">
        <v>26315</v>
      </c>
      <c r="I141" s="103">
        <v>24759</v>
      </c>
      <c r="J141">
        <v>13849</v>
      </c>
      <c r="K141">
        <v>36608</v>
      </c>
      <c r="L141">
        <v>0</v>
      </c>
      <c r="M141">
        <v>0</v>
      </c>
      <c r="N141">
        <v>0</v>
      </c>
      <c r="O141">
        <v>0</v>
      </c>
      <c r="P141">
        <v>249874</v>
      </c>
    </row>
    <row r="142" spans="1:46">
      <c r="A142" s="63">
        <v>38506</v>
      </c>
      <c r="B142" s="103" t="s">
        <v>20</v>
      </c>
      <c r="C142" s="481" t="s">
        <v>21</v>
      </c>
      <c r="D142">
        <v>0</v>
      </c>
      <c r="E142">
        <v>0</v>
      </c>
      <c r="F142">
        <v>0</v>
      </c>
      <c r="G142">
        <v>0</v>
      </c>
      <c r="H142">
        <v>0</v>
      </c>
      <c r="I142" s="103">
        <v>0</v>
      </c>
      <c r="J142">
        <v>2395</v>
      </c>
      <c r="K142">
        <v>24635</v>
      </c>
      <c r="L142">
        <v>0</v>
      </c>
      <c r="M142">
        <v>0</v>
      </c>
      <c r="N142">
        <v>0</v>
      </c>
      <c r="O142">
        <v>0</v>
      </c>
      <c r="P142">
        <v>27030</v>
      </c>
    </row>
    <row r="143" spans="1:46">
      <c r="A143" s="63">
        <v>38536</v>
      </c>
      <c r="B143" s="103" t="s">
        <v>22</v>
      </c>
      <c r="D143">
        <v>0</v>
      </c>
      <c r="E143">
        <v>0</v>
      </c>
      <c r="F143">
        <v>0</v>
      </c>
      <c r="G143">
        <v>0</v>
      </c>
      <c r="H143">
        <v>0</v>
      </c>
      <c r="I143" s="10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</row>
    <row r="144" spans="1:46">
      <c r="A144" s="63">
        <v>38567</v>
      </c>
      <c r="B144" s="103" t="s">
        <v>23</v>
      </c>
      <c r="D144">
        <v>9</v>
      </c>
      <c r="E144">
        <v>0</v>
      </c>
      <c r="F144">
        <v>0</v>
      </c>
      <c r="G144">
        <v>11</v>
      </c>
      <c r="H144">
        <v>4</v>
      </c>
      <c r="I144" s="103">
        <v>4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29</v>
      </c>
    </row>
    <row r="145" spans="1:22">
      <c r="A145" s="63">
        <v>38598</v>
      </c>
      <c r="B145" s="103" t="s">
        <v>24</v>
      </c>
      <c r="D145">
        <v>0</v>
      </c>
      <c r="E145">
        <v>0</v>
      </c>
      <c r="F145">
        <v>0</v>
      </c>
      <c r="G145">
        <v>0</v>
      </c>
      <c r="H145">
        <v>0</v>
      </c>
      <c r="I145" s="103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22">
      <c r="A146" s="63">
        <v>38628</v>
      </c>
      <c r="B146" s="103" t="s">
        <v>25</v>
      </c>
      <c r="D146">
        <v>0</v>
      </c>
      <c r="E146">
        <v>0</v>
      </c>
      <c r="F146">
        <v>0</v>
      </c>
      <c r="G146">
        <v>0</v>
      </c>
      <c r="H146">
        <v>0</v>
      </c>
      <c r="I146" s="103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22">
      <c r="A147" s="63">
        <v>38659</v>
      </c>
      <c r="B147" s="103" t="s">
        <v>26</v>
      </c>
      <c r="D147">
        <v>20676</v>
      </c>
      <c r="E147">
        <v>13907</v>
      </c>
      <c r="F147">
        <v>-10488</v>
      </c>
      <c r="G147">
        <v>952</v>
      </c>
      <c r="H147">
        <v>20507</v>
      </c>
      <c r="I147" s="103">
        <v>-23191</v>
      </c>
      <c r="J147">
        <v>15414</v>
      </c>
      <c r="K147">
        <v>-24255</v>
      </c>
      <c r="L147">
        <v>0</v>
      </c>
      <c r="M147">
        <v>0</v>
      </c>
      <c r="N147">
        <v>0</v>
      </c>
      <c r="O147">
        <v>0</v>
      </c>
      <c r="P147">
        <v>13522</v>
      </c>
    </row>
    <row r="148" spans="1:22">
      <c r="A148" s="63">
        <v>38689</v>
      </c>
    </row>
    <row r="149" spans="1:22">
      <c r="A149" s="63">
        <v>38720</v>
      </c>
      <c r="D149">
        <v>36171</v>
      </c>
      <c r="E149">
        <v>32799</v>
      </c>
      <c r="F149">
        <v>12430</v>
      </c>
      <c r="G149">
        <v>79871</v>
      </c>
      <c r="H149">
        <v>-19813</v>
      </c>
      <c r="I149" s="103">
        <v>23256</v>
      </c>
      <c r="J149">
        <v>-12303</v>
      </c>
      <c r="K149">
        <v>-35614</v>
      </c>
    </row>
    <row r="152" spans="1:22">
      <c r="U152" t="s">
        <v>1043</v>
      </c>
      <c r="V152" s="59" t="s">
        <v>62</v>
      </c>
    </row>
    <row r="153" spans="1:22">
      <c r="U153">
        <f>LINEST(T77:T101,U77:U101,TRUE,TRUE)</f>
        <v>0.71587740520914256</v>
      </c>
      <c r="V153">
        <f>LINEST(V77:V101,U77:U101,TRUE,TRUE)</f>
        <v>0.40096359712976848</v>
      </c>
    </row>
    <row r="157" spans="1:22">
      <c r="U157" t="s">
        <v>66</v>
      </c>
      <c r="V157" s="691"/>
    </row>
    <row r="158" spans="1:22">
      <c r="U158" s="199">
        <f>163305.42/X100</f>
        <v>0.11157393970697954</v>
      </c>
    </row>
  </sheetData>
  <phoneticPr fontId="59"/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T106"/>
  <sheetViews>
    <sheetView workbookViewId="0">
      <pane xSplit="1" ySplit="1" topLeftCell="B59" activePane="bottomRight" state="frozenSplit"/>
      <selection pane="topRight"/>
      <selection pane="bottomLeft"/>
      <selection pane="bottomRight" activeCell="L1" sqref="K1:L1048576"/>
    </sheetView>
  </sheetViews>
  <sheetFormatPr baseColWidth="10" defaultRowHeight="13" x14ac:dyDescent="0"/>
  <cols>
    <col min="2" max="2" width="11.85546875" bestFit="1" customWidth="1"/>
    <col min="4" max="4" width="10.85546875" bestFit="1" customWidth="1"/>
  </cols>
  <sheetData>
    <row r="1" spans="1:15" ht="27" thickBot="1">
      <c r="A1" s="131" t="s">
        <v>639</v>
      </c>
      <c r="B1" s="132" t="s">
        <v>1099</v>
      </c>
      <c r="C1" s="132" t="s">
        <v>1398</v>
      </c>
      <c r="D1" s="132" t="s">
        <v>1100</v>
      </c>
      <c r="E1" s="132" t="s">
        <v>1399</v>
      </c>
      <c r="F1" s="132" t="s">
        <v>155</v>
      </c>
      <c r="G1" s="132" t="s">
        <v>1620</v>
      </c>
      <c r="H1" s="132" t="s">
        <v>154</v>
      </c>
      <c r="I1" s="132" t="s">
        <v>881</v>
      </c>
      <c r="J1" s="132"/>
      <c r="K1" s="327" t="s">
        <v>530</v>
      </c>
      <c r="L1" s="328" t="s">
        <v>173</v>
      </c>
    </row>
    <row r="2" spans="1:15" ht="14" thickBot="1">
      <c r="A2" s="675"/>
      <c r="B2" s="151"/>
      <c r="C2" s="151"/>
      <c r="D2" s="151"/>
      <c r="E2" s="151"/>
      <c r="F2" s="151"/>
      <c r="G2" s="151"/>
      <c r="H2" s="151"/>
      <c r="I2" s="151"/>
      <c r="J2" s="151"/>
      <c r="K2" s="327"/>
      <c r="L2" s="328"/>
    </row>
    <row r="3" spans="1:15" ht="14" thickBot="1">
      <c r="A3" s="675"/>
      <c r="B3" s="151"/>
      <c r="C3" s="151"/>
      <c r="D3" s="151"/>
      <c r="E3" s="151"/>
      <c r="F3" s="151"/>
      <c r="G3" s="151"/>
      <c r="H3" s="151"/>
      <c r="I3" s="151"/>
      <c r="J3" s="151"/>
      <c r="K3" s="327"/>
      <c r="L3" s="328"/>
    </row>
    <row r="4" spans="1:15" ht="14" thickBot="1">
      <c r="A4" s="675"/>
      <c r="B4" s="151"/>
      <c r="C4" s="151"/>
      <c r="D4" s="151"/>
      <c r="E4" s="151"/>
      <c r="F4" s="151"/>
      <c r="G4" s="151"/>
      <c r="H4" s="151"/>
      <c r="I4" s="151"/>
      <c r="J4" s="151"/>
      <c r="K4" s="327"/>
      <c r="L4" s="328"/>
    </row>
    <row r="5" spans="1:15" ht="14" thickBot="1">
      <c r="A5" s="63">
        <v>34334</v>
      </c>
      <c r="B5" s="103">
        <v>55397</v>
      </c>
      <c r="C5" s="103"/>
      <c r="D5" s="103">
        <v>-29134</v>
      </c>
      <c r="K5" s="327" t="s">
        <v>530</v>
      </c>
      <c r="L5" s="328" t="s">
        <v>173</v>
      </c>
    </row>
    <row r="6" spans="1:15">
      <c r="A6" s="63">
        <v>34365</v>
      </c>
      <c r="B6">
        <v>132312</v>
      </c>
      <c r="D6" s="103">
        <v>13323</v>
      </c>
      <c r="K6" s="103"/>
      <c r="L6" s="103"/>
    </row>
    <row r="7" spans="1:15">
      <c r="A7" s="63">
        <v>34393</v>
      </c>
      <c r="B7">
        <v>116703</v>
      </c>
      <c r="C7">
        <f>B7+B6+B5</f>
        <v>304412</v>
      </c>
      <c r="D7" s="103">
        <v>-23070</v>
      </c>
      <c r="I7">
        <f>D5+D6+D7</f>
        <v>-38881</v>
      </c>
      <c r="K7" s="103"/>
      <c r="L7" s="103"/>
    </row>
    <row r="8" spans="1:15">
      <c r="A8" s="63">
        <v>34424</v>
      </c>
      <c r="B8">
        <v>95693</v>
      </c>
      <c r="D8" s="103">
        <v>1388</v>
      </c>
      <c r="K8" s="103"/>
      <c r="L8" s="103"/>
    </row>
    <row r="9" spans="1:15">
      <c r="A9" s="63">
        <v>34454</v>
      </c>
      <c r="B9">
        <v>83345</v>
      </c>
      <c r="D9" s="103">
        <v>-49230</v>
      </c>
      <c r="K9" s="103"/>
      <c r="L9" s="103"/>
    </row>
    <row r="10" spans="1:15">
      <c r="A10" s="63">
        <v>34485</v>
      </c>
      <c r="B10">
        <v>72726</v>
      </c>
      <c r="C10">
        <f>B10+B9+B8</f>
        <v>251764</v>
      </c>
      <c r="D10" s="103">
        <v>-17968</v>
      </c>
      <c r="I10">
        <f>D8+D9+D10</f>
        <v>-65810</v>
      </c>
      <c r="K10" s="103"/>
      <c r="L10" s="103"/>
    </row>
    <row r="11" spans="1:15">
      <c r="A11" s="63">
        <v>34515</v>
      </c>
      <c r="B11" s="103">
        <v>195267</v>
      </c>
      <c r="D11" s="103">
        <v>78181</v>
      </c>
      <c r="K11" s="103"/>
      <c r="L11" s="103"/>
    </row>
    <row r="12" spans="1:15">
      <c r="A12" s="63">
        <v>34546</v>
      </c>
      <c r="B12">
        <v>109989</v>
      </c>
      <c r="D12" s="103">
        <v>-1999</v>
      </c>
      <c r="K12" s="103"/>
      <c r="L12" s="103"/>
    </row>
    <row r="13" spans="1:15">
      <c r="A13" s="63">
        <v>34577</v>
      </c>
      <c r="B13">
        <v>75159</v>
      </c>
      <c r="C13">
        <f>B13+B12+B11</f>
        <v>380415</v>
      </c>
      <c r="D13" s="103">
        <v>-10904</v>
      </c>
      <c r="I13">
        <f>D11+D12+D13</f>
        <v>65278</v>
      </c>
      <c r="K13" s="103"/>
      <c r="L13" s="103"/>
    </row>
    <row r="14" spans="1:15">
      <c r="A14" s="63">
        <v>34607</v>
      </c>
      <c r="B14">
        <v>142669</v>
      </c>
      <c r="D14" s="103">
        <v>21881</v>
      </c>
      <c r="K14" s="103"/>
      <c r="L14" s="103"/>
      <c r="N14" t="s">
        <v>156</v>
      </c>
      <c r="O14" t="s">
        <v>157</v>
      </c>
    </row>
    <row r="15" spans="1:15">
      <c r="A15" s="63">
        <v>34638</v>
      </c>
      <c r="B15">
        <v>61341</v>
      </c>
      <c r="D15" s="103">
        <v>-28992</v>
      </c>
      <c r="K15" s="103"/>
      <c r="L15" s="103"/>
      <c r="N15" t="s">
        <v>158</v>
      </c>
      <c r="O15" t="s">
        <v>159</v>
      </c>
    </row>
    <row r="16" spans="1:15">
      <c r="A16" s="207">
        <v>34668</v>
      </c>
      <c r="B16" s="208">
        <v>143965</v>
      </c>
      <c r="C16" s="208">
        <f>B16+B15+B14</f>
        <v>347975</v>
      </c>
      <c r="D16" s="208">
        <v>8706</v>
      </c>
      <c r="E16" s="208">
        <f t="shared" ref="E16:E38" si="0">SUM(B5:B16)</f>
        <v>1284566</v>
      </c>
      <c r="F16" s="208">
        <f t="shared" ref="F16:F40" si="1">E16/10</f>
        <v>128456.6</v>
      </c>
      <c r="G16" s="208">
        <f t="shared" ref="G16:G42" si="2">SUM(D5:D16)</f>
        <v>-37818</v>
      </c>
      <c r="H16" s="637">
        <f>G16/E16</f>
        <v>-2.9440293453197423E-2</v>
      </c>
      <c r="I16" s="64">
        <f>D14+D15+D16</f>
        <v>1595</v>
      </c>
      <c r="J16" s="103"/>
      <c r="K16" s="103"/>
      <c r="L16" s="103"/>
      <c r="N16" t="s">
        <v>160</v>
      </c>
      <c r="O16" t="s">
        <v>161</v>
      </c>
    </row>
    <row r="17" spans="1:16">
      <c r="A17" s="63">
        <v>34699</v>
      </c>
      <c r="B17" s="103">
        <v>94787</v>
      </c>
      <c r="C17" s="103"/>
      <c r="D17" s="103">
        <v>5502</v>
      </c>
      <c r="E17" s="103">
        <f t="shared" si="0"/>
        <v>1323956</v>
      </c>
      <c r="F17" s="103">
        <f t="shared" si="1"/>
        <v>132395.6</v>
      </c>
      <c r="G17" s="103">
        <f t="shared" si="2"/>
        <v>-3182</v>
      </c>
      <c r="H17" s="117">
        <f t="shared" ref="H17:H80" si="3">G17/E17</f>
        <v>-2.4034031342431319E-3</v>
      </c>
      <c r="I17" s="103"/>
      <c r="J17" s="103"/>
      <c r="K17" s="103"/>
      <c r="L17" s="103"/>
      <c r="N17" t="s">
        <v>162</v>
      </c>
      <c r="O17" t="s">
        <v>163</v>
      </c>
    </row>
    <row r="18" spans="1:16">
      <c r="A18" s="63">
        <v>34730</v>
      </c>
      <c r="B18" s="103">
        <v>98803</v>
      </c>
      <c r="C18" s="103"/>
      <c r="D18" s="103">
        <v>3225</v>
      </c>
      <c r="E18" s="103">
        <f t="shared" si="0"/>
        <v>1290447</v>
      </c>
      <c r="F18" s="103">
        <f t="shared" si="1"/>
        <v>129044.7</v>
      </c>
      <c r="G18" s="103">
        <f t="shared" si="2"/>
        <v>-13280</v>
      </c>
      <c r="H18" s="117">
        <f t="shared" si="3"/>
        <v>-1.0291007689583532E-2</v>
      </c>
      <c r="I18" s="103"/>
      <c r="J18" s="103"/>
      <c r="K18" s="103"/>
      <c r="L18" s="103"/>
      <c r="N18" t="s">
        <v>164</v>
      </c>
    </row>
    <row r="19" spans="1:16">
      <c r="A19" s="63">
        <v>34758</v>
      </c>
      <c r="B19" s="103">
        <v>88380</v>
      </c>
      <c r="C19" s="103">
        <f>B19+B18+B17</f>
        <v>281970</v>
      </c>
      <c r="D19" s="103">
        <v>3468</v>
      </c>
      <c r="E19" s="103">
        <f t="shared" si="0"/>
        <v>1262124</v>
      </c>
      <c r="F19" s="103">
        <f t="shared" si="1"/>
        <v>126212.4</v>
      </c>
      <c r="G19" s="103">
        <f t="shared" si="2"/>
        <v>13258</v>
      </c>
      <c r="H19" s="117">
        <f t="shared" si="3"/>
        <v>1.0504514611876488E-2</v>
      </c>
      <c r="I19">
        <f>D17+D18+D19</f>
        <v>12195</v>
      </c>
      <c r="J19" s="103"/>
      <c r="K19" s="103"/>
      <c r="L19" s="103"/>
      <c r="N19" t="s">
        <v>164</v>
      </c>
      <c r="P19" t="s">
        <v>3</v>
      </c>
    </row>
    <row r="20" spans="1:16">
      <c r="A20" s="63">
        <v>34789</v>
      </c>
      <c r="B20" s="103">
        <v>104262</v>
      </c>
      <c r="C20" s="103"/>
      <c r="D20" s="103">
        <v>18882</v>
      </c>
      <c r="E20" s="103">
        <f t="shared" si="0"/>
        <v>1270693</v>
      </c>
      <c r="F20" s="103">
        <f t="shared" si="1"/>
        <v>127069.3</v>
      </c>
      <c r="G20" s="103">
        <f t="shared" si="2"/>
        <v>30752</v>
      </c>
      <c r="H20" s="117">
        <f t="shared" si="3"/>
        <v>2.420096750355908E-2</v>
      </c>
      <c r="I20" s="103"/>
      <c r="J20" s="103"/>
      <c r="K20" s="103"/>
      <c r="L20" s="103"/>
      <c r="N20" t="s">
        <v>164</v>
      </c>
      <c r="P20" s="186">
        <v>1</v>
      </c>
    </row>
    <row r="21" spans="1:16" ht="15">
      <c r="A21" s="63">
        <v>34819</v>
      </c>
      <c r="B21" s="103">
        <v>70538</v>
      </c>
      <c r="C21" s="103"/>
      <c r="D21" s="103">
        <v>-9799</v>
      </c>
      <c r="E21" s="103">
        <f t="shared" si="0"/>
        <v>1257886</v>
      </c>
      <c r="F21" s="103">
        <f t="shared" si="1"/>
        <v>125788.6</v>
      </c>
      <c r="G21" s="103">
        <f t="shared" si="2"/>
        <v>70183</v>
      </c>
      <c r="H21" s="117">
        <f t="shared" si="3"/>
        <v>5.5794404262389435E-2</v>
      </c>
      <c r="I21" s="103"/>
      <c r="J21" s="103"/>
      <c r="K21" s="103"/>
      <c r="L21" s="103"/>
      <c r="N21" s="672">
        <v>1991</v>
      </c>
      <c r="O21" s="672">
        <v>1</v>
      </c>
      <c r="P21" s="186">
        <f>P20/(1+O21/100)</f>
        <v>0.99009900990099009</v>
      </c>
    </row>
    <row r="22" spans="1:16" ht="15">
      <c r="A22" s="63">
        <v>34850</v>
      </c>
      <c r="B22" s="103">
        <v>85240</v>
      </c>
      <c r="C22" s="103">
        <f>B22+B21+B20</f>
        <v>260040</v>
      </c>
      <c r="D22" s="103">
        <v>4504</v>
      </c>
      <c r="E22" s="103">
        <f t="shared" si="0"/>
        <v>1270400</v>
      </c>
      <c r="F22" s="103">
        <f t="shared" si="1"/>
        <v>127040</v>
      </c>
      <c r="G22" s="103">
        <f t="shared" si="2"/>
        <v>92655</v>
      </c>
      <c r="H22" s="117">
        <f t="shared" si="3"/>
        <v>7.2933721662468518E-2</v>
      </c>
      <c r="I22">
        <f>D20+D21+D22</f>
        <v>13587</v>
      </c>
      <c r="J22" s="103"/>
      <c r="K22" s="103"/>
      <c r="L22" s="103"/>
      <c r="N22" s="672">
        <v>1992</v>
      </c>
      <c r="O22" s="672">
        <v>1.0363</v>
      </c>
      <c r="P22" s="186">
        <f t="shared" ref="P22:P33" si="4">P21/(1+O22/100)</f>
        <v>0.97994385176514798</v>
      </c>
    </row>
    <row r="23" spans="1:16" ht="15">
      <c r="A23" s="63">
        <v>34880</v>
      </c>
      <c r="B23" s="103">
        <v>56451</v>
      </c>
      <c r="C23" s="103"/>
      <c r="D23" s="103">
        <v>-8406</v>
      </c>
      <c r="E23" s="103">
        <f t="shared" si="0"/>
        <v>1131584</v>
      </c>
      <c r="F23" s="103">
        <f t="shared" si="1"/>
        <v>113158.39999999999</v>
      </c>
      <c r="G23" s="103">
        <f t="shared" si="2"/>
        <v>6068</v>
      </c>
      <c r="H23" s="117">
        <f t="shared" si="3"/>
        <v>5.3623946609354673E-3</v>
      </c>
      <c r="I23" s="103"/>
      <c r="J23" s="103"/>
      <c r="K23" s="103"/>
      <c r="L23" s="103"/>
      <c r="N23" s="672">
        <v>1993</v>
      </c>
      <c r="O23" s="672">
        <v>1.0708</v>
      </c>
      <c r="P23" s="186">
        <f t="shared" si="4"/>
        <v>0.96956178418014705</v>
      </c>
    </row>
    <row r="24" spans="1:16" ht="15">
      <c r="A24" s="63">
        <v>34911</v>
      </c>
      <c r="B24" s="103">
        <v>117318</v>
      </c>
      <c r="C24" s="103"/>
      <c r="D24" s="103">
        <v>26003</v>
      </c>
      <c r="E24" s="103">
        <f t="shared" si="0"/>
        <v>1138913</v>
      </c>
      <c r="F24" s="103">
        <f t="shared" si="1"/>
        <v>113891.3</v>
      </c>
      <c r="G24" s="103">
        <f t="shared" si="2"/>
        <v>34070</v>
      </c>
      <c r="H24" s="117">
        <f t="shared" si="3"/>
        <v>2.991448863960636E-2</v>
      </c>
      <c r="I24" s="103"/>
      <c r="J24" s="103"/>
      <c r="K24" s="103"/>
      <c r="L24" s="103"/>
      <c r="N24" s="672">
        <v>1994</v>
      </c>
      <c r="O24" s="672">
        <v>1.0992</v>
      </c>
      <c r="P24" s="186">
        <f t="shared" si="4"/>
        <v>0.95902023377054135</v>
      </c>
    </row>
    <row r="25" spans="1:16" ht="15">
      <c r="A25" s="63">
        <v>34942</v>
      </c>
      <c r="B25" s="103">
        <v>109351</v>
      </c>
      <c r="C25" s="103">
        <f>B25+B24+B23</f>
        <v>283120</v>
      </c>
      <c r="D25" s="103">
        <v>32894</v>
      </c>
      <c r="E25" s="103">
        <f t="shared" si="0"/>
        <v>1173105</v>
      </c>
      <c r="F25" s="103">
        <f t="shared" si="1"/>
        <v>117310.5</v>
      </c>
      <c r="G25" s="103">
        <f t="shared" si="2"/>
        <v>77868</v>
      </c>
      <c r="H25" s="117">
        <f t="shared" si="3"/>
        <v>6.6377689976600554E-2</v>
      </c>
      <c r="I25">
        <f>D23+D24+D25</f>
        <v>50491</v>
      </c>
      <c r="J25" s="103"/>
      <c r="K25" s="103"/>
      <c r="L25" s="103"/>
      <c r="N25" s="672">
        <v>1995</v>
      </c>
      <c r="O25" s="672">
        <v>1.1160000000000001</v>
      </c>
      <c r="P25" s="186">
        <f t="shared" si="4"/>
        <v>0.9484356914539156</v>
      </c>
    </row>
    <row r="26" spans="1:16" ht="16" thickBot="1">
      <c r="A26" s="63">
        <v>34972</v>
      </c>
      <c r="B26" s="103">
        <v>66507</v>
      </c>
      <c r="C26" s="103"/>
      <c r="D26" s="103">
        <v>-5117</v>
      </c>
      <c r="E26" s="103">
        <f t="shared" si="0"/>
        <v>1096943</v>
      </c>
      <c r="F26" s="103">
        <f t="shared" si="1"/>
        <v>109694.3</v>
      </c>
      <c r="G26" s="103">
        <f t="shared" si="2"/>
        <v>50870</v>
      </c>
      <c r="H26" s="117">
        <f t="shared" si="3"/>
        <v>4.6374333032801154E-2</v>
      </c>
      <c r="I26" s="103"/>
      <c r="J26" s="103"/>
      <c r="K26" s="103"/>
      <c r="L26" s="103"/>
      <c r="N26" s="672">
        <v>1996</v>
      </c>
      <c r="O26" s="672">
        <v>1.1485000000000001</v>
      </c>
      <c r="P26" s="186">
        <f t="shared" si="4"/>
        <v>0.93766659066018343</v>
      </c>
    </row>
    <row r="27" spans="1:16" ht="15">
      <c r="A27" s="63">
        <v>35003</v>
      </c>
      <c r="B27" s="103">
        <v>102341</v>
      </c>
      <c r="C27" s="103"/>
      <c r="D27" s="103">
        <v>17780</v>
      </c>
      <c r="E27" s="103">
        <f t="shared" si="0"/>
        <v>1137943</v>
      </c>
      <c r="F27" s="103">
        <f t="shared" si="1"/>
        <v>113794.3</v>
      </c>
      <c r="G27" s="103">
        <f t="shared" si="2"/>
        <v>97642</v>
      </c>
      <c r="H27" s="117">
        <f t="shared" si="3"/>
        <v>8.5805703800629726E-2</v>
      </c>
      <c r="I27" s="103"/>
      <c r="J27" s="103"/>
      <c r="K27" s="809" t="s">
        <v>535</v>
      </c>
      <c r="L27" s="810"/>
      <c r="N27" s="672">
        <v>1997</v>
      </c>
      <c r="O27" s="672">
        <v>1.1719999999999999</v>
      </c>
      <c r="P27" s="186">
        <f t="shared" si="4"/>
        <v>0.92680444259299355</v>
      </c>
    </row>
    <row r="28" spans="1:16" ht="16" thickBot="1">
      <c r="A28" s="207">
        <v>35033</v>
      </c>
      <c r="B28" s="208">
        <v>92455</v>
      </c>
      <c r="C28" s="208">
        <f>B28+B27+B26</f>
        <v>261303</v>
      </c>
      <c r="D28" s="208">
        <v>13836</v>
      </c>
      <c r="E28" s="208">
        <f t="shared" si="0"/>
        <v>1086433</v>
      </c>
      <c r="F28" s="208">
        <f t="shared" si="1"/>
        <v>108643.3</v>
      </c>
      <c r="G28" s="208">
        <f t="shared" si="2"/>
        <v>102772</v>
      </c>
      <c r="H28" s="637">
        <f t="shared" si="3"/>
        <v>9.4595801121652237E-2</v>
      </c>
      <c r="I28" s="64">
        <f>D26+D27+D28</f>
        <v>26499</v>
      </c>
      <c r="J28" s="103"/>
      <c r="K28" s="327" t="s">
        <v>530</v>
      </c>
      <c r="L28" s="328" t="s">
        <v>173</v>
      </c>
      <c r="N28" s="672">
        <v>1998</v>
      </c>
      <c r="O28" s="672">
        <v>1.1999</v>
      </c>
      <c r="P28" s="186">
        <f t="shared" si="4"/>
        <v>0.9158155715499654</v>
      </c>
    </row>
    <row r="29" spans="1:16" ht="15">
      <c r="A29" s="63">
        <v>35064</v>
      </c>
      <c r="B29" s="103">
        <v>63936</v>
      </c>
      <c r="C29" s="103"/>
      <c r="D29" s="103">
        <v>-2487</v>
      </c>
      <c r="E29" s="103">
        <f t="shared" si="0"/>
        <v>1055582</v>
      </c>
      <c r="F29" s="103">
        <f t="shared" si="1"/>
        <v>105558.2</v>
      </c>
      <c r="G29" s="103">
        <f t="shared" si="2"/>
        <v>94783</v>
      </c>
      <c r="H29" s="117">
        <f t="shared" si="3"/>
        <v>8.9792171522439748E-2</v>
      </c>
      <c r="I29" s="103"/>
      <c r="J29" s="103"/>
      <c r="K29" s="117">
        <f t="shared" ref="K29:K58" si="5">E29/E17-1</f>
        <v>-0.20270613222795919</v>
      </c>
      <c r="L29" s="117">
        <f>(G29-G17)/G17-1</f>
        <v>-31.787240729101192</v>
      </c>
      <c r="N29" s="672">
        <v>1999</v>
      </c>
      <c r="O29" s="672">
        <v>1.2030000000000001</v>
      </c>
      <c r="P29" s="186">
        <f t="shared" si="4"/>
        <v>0.90492927240295784</v>
      </c>
    </row>
    <row r="30" spans="1:16" ht="15">
      <c r="A30" s="63">
        <v>35095</v>
      </c>
      <c r="B30" s="103">
        <v>84687</v>
      </c>
      <c r="C30" s="103"/>
      <c r="D30" s="103">
        <v>3169</v>
      </c>
      <c r="E30" s="103">
        <f t="shared" si="0"/>
        <v>1041466</v>
      </c>
      <c r="F30" s="103">
        <f t="shared" si="1"/>
        <v>104146.6</v>
      </c>
      <c r="G30" s="103">
        <f t="shared" si="2"/>
        <v>94727</v>
      </c>
      <c r="H30" s="117">
        <f t="shared" si="3"/>
        <v>9.0955441656280667E-2</v>
      </c>
      <c r="I30" s="103"/>
      <c r="J30" s="103"/>
      <c r="K30" s="117">
        <f t="shared" si="5"/>
        <v>-0.19294167059941247</v>
      </c>
      <c r="L30" s="117">
        <f t="shared" ref="L30:L40" si="6">(G30-G18)/G18-1</f>
        <v>-9.1330572289156624</v>
      </c>
      <c r="N30" s="672">
        <v>2000</v>
      </c>
      <c r="O30" s="672">
        <v>1.2087000000000001</v>
      </c>
      <c r="P30" s="186">
        <f t="shared" si="4"/>
        <v>0.89412201955262527</v>
      </c>
    </row>
    <row r="31" spans="1:16" ht="15">
      <c r="A31" s="63">
        <v>35124</v>
      </c>
      <c r="B31" s="103">
        <v>69718</v>
      </c>
      <c r="C31" s="103">
        <f>B31+B30+B29</f>
        <v>218341</v>
      </c>
      <c r="D31" s="103">
        <v>-4227</v>
      </c>
      <c r="E31" s="103">
        <f t="shared" si="0"/>
        <v>1022804</v>
      </c>
      <c r="F31" s="103">
        <f t="shared" si="1"/>
        <v>102280.4</v>
      </c>
      <c r="G31" s="103">
        <f t="shared" si="2"/>
        <v>87032</v>
      </c>
      <c r="H31" s="117">
        <f t="shared" si="3"/>
        <v>8.5091571796746979E-2</v>
      </c>
      <c r="I31">
        <f>D29+D30+D31</f>
        <v>-3545</v>
      </c>
      <c r="J31" s="103"/>
      <c r="K31" s="117">
        <f t="shared" si="5"/>
        <v>-0.18961686807318456</v>
      </c>
      <c r="L31" s="117">
        <f t="shared" si="6"/>
        <v>4.5644893649117515</v>
      </c>
      <c r="N31" s="672">
        <v>2001</v>
      </c>
      <c r="O31" s="672">
        <v>1.2353000000000001</v>
      </c>
      <c r="P31" s="186">
        <f t="shared" si="4"/>
        <v>0.88321170535635818</v>
      </c>
    </row>
    <row r="32" spans="1:16" ht="15">
      <c r="A32" s="63">
        <v>35155</v>
      </c>
      <c r="B32" s="103">
        <v>105680</v>
      </c>
      <c r="C32" s="103"/>
      <c r="D32" s="103">
        <v>22461</v>
      </c>
      <c r="E32" s="103">
        <f t="shared" si="0"/>
        <v>1024222</v>
      </c>
      <c r="F32" s="103">
        <f t="shared" si="1"/>
        <v>102422.2</v>
      </c>
      <c r="G32" s="103">
        <f t="shared" si="2"/>
        <v>90611</v>
      </c>
      <c r="H32" s="117">
        <f t="shared" si="3"/>
        <v>8.8468125074446749E-2</v>
      </c>
      <c r="I32" s="103"/>
      <c r="J32" s="103"/>
      <c r="K32" s="117">
        <f t="shared" si="5"/>
        <v>-0.19396581235593491</v>
      </c>
      <c r="L32" s="117">
        <f t="shared" si="6"/>
        <v>0.94650754422476591</v>
      </c>
      <c r="N32" s="672">
        <v>2002</v>
      </c>
      <c r="O32" s="672">
        <v>1.2633000000000001</v>
      </c>
      <c r="P32" s="186">
        <f t="shared" si="4"/>
        <v>0.87219328755467995</v>
      </c>
    </row>
    <row r="33" spans="1:16" ht="15">
      <c r="A33" s="63">
        <v>35185</v>
      </c>
      <c r="B33" s="103">
        <v>98629</v>
      </c>
      <c r="C33" s="103"/>
      <c r="D33" s="103">
        <v>19842</v>
      </c>
      <c r="E33" s="103">
        <f t="shared" si="0"/>
        <v>1052313</v>
      </c>
      <c r="F33" s="103">
        <f t="shared" si="1"/>
        <v>105231.3</v>
      </c>
      <c r="G33" s="103">
        <f t="shared" si="2"/>
        <v>120252</v>
      </c>
      <c r="H33" s="117">
        <f t="shared" si="3"/>
        <v>0.11427398502156677</v>
      </c>
      <c r="I33" s="103"/>
      <c r="J33" s="103"/>
      <c r="K33" s="117">
        <f t="shared" si="5"/>
        <v>-0.16342736941185454</v>
      </c>
      <c r="L33" s="117">
        <f t="shared" si="6"/>
        <v>-0.28659361953749485</v>
      </c>
      <c r="N33" s="672">
        <v>2003</v>
      </c>
      <c r="O33" s="672">
        <v>1.2785</v>
      </c>
      <c r="P33" s="186">
        <f t="shared" si="4"/>
        <v>0.86118306210565909</v>
      </c>
    </row>
    <row r="34" spans="1:16">
      <c r="A34" s="63">
        <v>35216</v>
      </c>
      <c r="B34" s="103">
        <v>99749</v>
      </c>
      <c r="C34" s="103">
        <f>B34+B33+B32</f>
        <v>304058</v>
      </c>
      <c r="D34" s="103">
        <v>18135</v>
      </c>
      <c r="E34" s="103">
        <f t="shared" si="0"/>
        <v>1066822</v>
      </c>
      <c r="F34" s="103">
        <f t="shared" si="1"/>
        <v>106682.2</v>
      </c>
      <c r="G34" s="103">
        <f t="shared" si="2"/>
        <v>133883</v>
      </c>
      <c r="H34" s="117">
        <f t="shared" si="3"/>
        <v>0.12549703699398776</v>
      </c>
      <c r="I34">
        <f>D32+D33+D34</f>
        <v>60438</v>
      </c>
      <c r="J34" s="103"/>
      <c r="K34" s="117">
        <f t="shared" si="5"/>
        <v>-0.16024716624685142</v>
      </c>
      <c r="L34" s="117">
        <f t="shared" si="6"/>
        <v>-0.55503750472181745</v>
      </c>
    </row>
    <row r="35" spans="1:16">
      <c r="A35" s="63">
        <v>35246</v>
      </c>
      <c r="B35" s="103">
        <v>95373</v>
      </c>
      <c r="C35" s="103"/>
      <c r="D35" s="103">
        <v>15122</v>
      </c>
      <c r="E35" s="103">
        <f t="shared" si="0"/>
        <v>1105744</v>
      </c>
      <c r="F35" s="103">
        <f t="shared" si="1"/>
        <v>110574.39999999999</v>
      </c>
      <c r="G35" s="103">
        <f t="shared" si="2"/>
        <v>157411</v>
      </c>
      <c r="H35" s="117">
        <f t="shared" si="3"/>
        <v>0.14235754387995775</v>
      </c>
      <c r="I35" s="103"/>
      <c r="J35" s="103"/>
      <c r="K35" s="117">
        <f t="shared" si="5"/>
        <v>-2.2835246875176796E-2</v>
      </c>
      <c r="L35" s="232">
        <f>(G35-G23)/G23</f>
        <v>24.941166776532629</v>
      </c>
    </row>
    <row r="36" spans="1:16">
      <c r="A36" s="63">
        <v>35277</v>
      </c>
      <c r="B36" s="103">
        <v>98021</v>
      </c>
      <c r="C36" s="103"/>
      <c r="D36" s="103">
        <v>16624</v>
      </c>
      <c r="E36" s="103">
        <f t="shared" si="0"/>
        <v>1086447</v>
      </c>
      <c r="F36" s="103">
        <f t="shared" si="1"/>
        <v>108644.7</v>
      </c>
      <c r="G36" s="103">
        <f t="shared" si="2"/>
        <v>148032</v>
      </c>
      <c r="H36" s="117">
        <f t="shared" si="3"/>
        <v>0.13625331010164324</v>
      </c>
      <c r="I36" s="103"/>
      <c r="J36" s="103"/>
      <c r="K36" s="117">
        <f t="shared" si="5"/>
        <v>-4.6066732050648262E-2</v>
      </c>
      <c r="L36" s="117">
        <f t="shared" si="6"/>
        <v>2.3449368946287055</v>
      </c>
    </row>
    <row r="37" spans="1:16">
      <c r="A37" s="63">
        <v>35308</v>
      </c>
      <c r="B37" s="103">
        <v>104848</v>
      </c>
      <c r="C37" s="103">
        <f>B37+B36+B35</f>
        <v>298242</v>
      </c>
      <c r="D37" s="103">
        <v>32351</v>
      </c>
      <c r="E37" s="103">
        <f t="shared" si="0"/>
        <v>1081944</v>
      </c>
      <c r="F37" s="103">
        <f t="shared" si="1"/>
        <v>108194.4</v>
      </c>
      <c r="G37" s="103">
        <f t="shared" si="2"/>
        <v>147489</v>
      </c>
      <c r="H37" s="117">
        <f t="shared" si="3"/>
        <v>0.13631851556087932</v>
      </c>
      <c r="I37">
        <f>D35+D36+D37</f>
        <v>64097</v>
      </c>
      <c r="J37" s="103"/>
      <c r="K37" s="117">
        <f t="shared" si="5"/>
        <v>-7.7709156469369711E-2</v>
      </c>
      <c r="L37" s="117">
        <f t="shared" si="6"/>
        <v>-0.10591000154106955</v>
      </c>
    </row>
    <row r="38" spans="1:16">
      <c r="A38" s="63">
        <v>35338</v>
      </c>
      <c r="B38" s="103">
        <v>108225</v>
      </c>
      <c r="C38" s="103"/>
      <c r="D38" s="103">
        <v>31194</v>
      </c>
      <c r="E38" s="103">
        <f t="shared" si="0"/>
        <v>1123662</v>
      </c>
      <c r="F38" s="103">
        <f t="shared" si="1"/>
        <v>112366.2</v>
      </c>
      <c r="G38" s="103">
        <f t="shared" si="2"/>
        <v>183800</v>
      </c>
      <c r="H38" s="117">
        <f t="shared" si="3"/>
        <v>0.16357231979011483</v>
      </c>
      <c r="I38" s="103"/>
      <c r="J38" s="103"/>
      <c r="K38" s="117">
        <f t="shared" si="5"/>
        <v>2.4357692241073536E-2</v>
      </c>
      <c r="L38" s="117">
        <f t="shared" si="6"/>
        <v>1.6131315116964813</v>
      </c>
    </row>
    <row r="39" spans="1:16">
      <c r="A39" s="63">
        <v>35369</v>
      </c>
      <c r="B39" s="103">
        <v>110329</v>
      </c>
      <c r="C39" s="103"/>
      <c r="D39" s="103">
        <v>24027</v>
      </c>
      <c r="E39" s="103">
        <f t="shared" ref="E39:E44" si="7">SUM(B28:B39)</f>
        <v>1131650</v>
      </c>
      <c r="F39" s="103">
        <f t="shared" si="1"/>
        <v>113165</v>
      </c>
      <c r="G39" s="103">
        <f t="shared" si="2"/>
        <v>190047</v>
      </c>
      <c r="H39" s="117">
        <f t="shared" si="3"/>
        <v>0.16793796668581276</v>
      </c>
      <c r="I39" s="103"/>
      <c r="J39" s="103"/>
      <c r="K39" s="117">
        <f t="shared" si="5"/>
        <v>-5.5301539708052516E-3</v>
      </c>
      <c r="L39" s="117">
        <f t="shared" si="6"/>
        <v>-5.363470637635448E-2</v>
      </c>
    </row>
    <row r="40" spans="1:16">
      <c r="A40" s="207">
        <v>35399</v>
      </c>
      <c r="B40" s="208">
        <v>142899</v>
      </c>
      <c r="C40" s="208">
        <f>B40+B39+B38</f>
        <v>361453</v>
      </c>
      <c r="D40" s="208">
        <v>4394</v>
      </c>
      <c r="E40" s="208">
        <f t="shared" si="7"/>
        <v>1182094</v>
      </c>
      <c r="F40" s="208">
        <f t="shared" si="1"/>
        <v>118209.4</v>
      </c>
      <c r="G40" s="208">
        <f t="shared" si="2"/>
        <v>180605</v>
      </c>
      <c r="H40" s="637">
        <f t="shared" si="3"/>
        <v>0.1527839579593501</v>
      </c>
      <c r="I40" s="64">
        <f>D38+D39+D40</f>
        <v>59615</v>
      </c>
      <c r="J40" s="103"/>
      <c r="K40" s="117">
        <f t="shared" si="5"/>
        <v>8.8050528656622218E-2</v>
      </c>
      <c r="L40" s="117">
        <f t="shared" si="6"/>
        <v>-0.24266337134628113</v>
      </c>
    </row>
    <row r="41" spans="1:16">
      <c r="A41" s="63">
        <v>35430</v>
      </c>
      <c r="B41" s="103">
        <v>110711</v>
      </c>
      <c r="C41" s="103"/>
      <c r="D41" s="103">
        <v>18594</v>
      </c>
      <c r="E41" s="103">
        <f t="shared" si="7"/>
        <v>1228869</v>
      </c>
      <c r="F41" s="103">
        <f>E41/10</f>
        <v>122886.9</v>
      </c>
      <c r="G41" s="103">
        <f t="shared" si="2"/>
        <v>201686</v>
      </c>
      <c r="H41" s="117">
        <f t="shared" si="3"/>
        <v>0.16412327107283201</v>
      </c>
      <c r="I41" s="103"/>
      <c r="J41" s="103"/>
      <c r="K41" s="117">
        <f t="shared" si="5"/>
        <v>0.16416251887584288</v>
      </c>
      <c r="L41" s="117">
        <f t="shared" ref="L41:L58" si="8">G41/G29-1</f>
        <v>1.1278710317250984</v>
      </c>
    </row>
    <row r="42" spans="1:16">
      <c r="A42" s="63">
        <v>35461</v>
      </c>
      <c r="B42" s="103">
        <v>113241</v>
      </c>
      <c r="C42" s="103"/>
      <c r="D42" s="103">
        <v>31089</v>
      </c>
      <c r="E42" s="103">
        <f t="shared" si="7"/>
        <v>1257423</v>
      </c>
      <c r="F42" s="103">
        <f t="shared" ref="F42:F94" si="9">E42/10</f>
        <v>125742.3</v>
      </c>
      <c r="G42" s="103">
        <f t="shared" si="2"/>
        <v>229606</v>
      </c>
      <c r="H42" s="117">
        <f t="shared" si="3"/>
        <v>0.18260044551435753</v>
      </c>
      <c r="I42" s="103"/>
      <c r="J42" s="103"/>
      <c r="K42" s="117">
        <f t="shared" si="5"/>
        <v>0.20735866557333615</v>
      </c>
      <c r="L42" s="117">
        <f t="shared" si="8"/>
        <v>1.4238707021229429</v>
      </c>
    </row>
    <row r="43" spans="1:16">
      <c r="A43" s="63">
        <v>35489</v>
      </c>
      <c r="B43" s="103">
        <v>146356</v>
      </c>
      <c r="C43" s="103">
        <f>B43+B42+B41</f>
        <v>370308</v>
      </c>
      <c r="D43" s="103">
        <v>47154</v>
      </c>
      <c r="E43" s="103">
        <f t="shared" si="7"/>
        <v>1334061</v>
      </c>
      <c r="F43" s="103">
        <f t="shared" si="9"/>
        <v>133406.1</v>
      </c>
      <c r="G43" s="103">
        <f t="shared" ref="G43:G50" si="10">SUM(D32:D43)</f>
        <v>280987</v>
      </c>
      <c r="H43" s="117">
        <f t="shared" si="3"/>
        <v>0.21062530124184725</v>
      </c>
      <c r="I43">
        <f>D41+D42+D43</f>
        <v>96837</v>
      </c>
      <c r="J43" s="103"/>
      <c r="K43" s="117">
        <f t="shared" si="5"/>
        <v>0.30431734721412895</v>
      </c>
      <c r="L43" s="117">
        <f t="shared" si="8"/>
        <v>2.2285481202316388</v>
      </c>
    </row>
    <row r="44" spans="1:16">
      <c r="A44" s="63">
        <v>35520</v>
      </c>
      <c r="B44" s="671">
        <v>199875</v>
      </c>
      <c r="C44" s="103"/>
      <c r="D44" s="103">
        <v>36122</v>
      </c>
      <c r="E44" s="103">
        <f t="shared" si="7"/>
        <v>1428256</v>
      </c>
      <c r="F44" s="103">
        <f t="shared" si="9"/>
        <v>142825.60000000001</v>
      </c>
      <c r="G44" s="103">
        <f t="shared" si="10"/>
        <v>294648</v>
      </c>
      <c r="H44" s="117">
        <f t="shared" si="3"/>
        <v>0.20629915085250825</v>
      </c>
      <c r="K44" s="117">
        <f t="shared" si="5"/>
        <v>0.39447893132543532</v>
      </c>
      <c r="L44" s="117">
        <f t="shared" si="8"/>
        <v>2.2517906214477272</v>
      </c>
    </row>
    <row r="45" spans="1:16">
      <c r="A45" s="63">
        <v>35550</v>
      </c>
      <c r="B45" s="103">
        <v>109057</v>
      </c>
      <c r="C45" s="103"/>
      <c r="D45" s="103">
        <v>23117</v>
      </c>
      <c r="E45" s="103">
        <f t="shared" ref="E45:E50" si="11">SUM(B34:B45)</f>
        <v>1438684</v>
      </c>
      <c r="F45" s="103">
        <f t="shared" si="9"/>
        <v>143868.4</v>
      </c>
      <c r="G45" s="103">
        <f t="shared" si="10"/>
        <v>297923</v>
      </c>
      <c r="H45" s="117">
        <f t="shared" si="3"/>
        <v>0.20708022053487771</v>
      </c>
      <c r="I45" s="103"/>
      <c r="K45" s="117">
        <f t="shared" si="5"/>
        <v>0.36716357205508254</v>
      </c>
      <c r="L45" s="117">
        <f t="shared" si="8"/>
        <v>1.4774889398928917</v>
      </c>
    </row>
    <row r="46" spans="1:16">
      <c r="A46" s="63">
        <v>35581</v>
      </c>
      <c r="B46" s="103">
        <v>142229</v>
      </c>
      <c r="C46" s="103">
        <f>B46+B45+B44</f>
        <v>451161</v>
      </c>
      <c r="D46" s="103">
        <v>29973</v>
      </c>
      <c r="E46" s="103">
        <f t="shared" si="11"/>
        <v>1481164</v>
      </c>
      <c r="F46" s="103">
        <f t="shared" si="9"/>
        <v>148116.4</v>
      </c>
      <c r="G46" s="103">
        <f t="shared" si="10"/>
        <v>309761</v>
      </c>
      <c r="H46" s="117">
        <f t="shared" si="3"/>
        <v>0.20913349230740147</v>
      </c>
      <c r="I46" s="103">
        <f>D44+D45+D46</f>
        <v>89212</v>
      </c>
      <c r="K46" s="117">
        <f t="shared" si="5"/>
        <v>0.38838906584228661</v>
      </c>
      <c r="L46" s="117">
        <f t="shared" si="8"/>
        <v>1.3136693979071277</v>
      </c>
    </row>
    <row r="47" spans="1:16">
      <c r="A47" s="63">
        <v>35611</v>
      </c>
      <c r="B47" s="103">
        <v>93371</v>
      </c>
      <c r="C47" s="103"/>
      <c r="D47" s="103">
        <v>9805</v>
      </c>
      <c r="E47" s="103">
        <f t="shared" si="11"/>
        <v>1479162</v>
      </c>
      <c r="F47" s="103">
        <f t="shared" si="9"/>
        <v>147916.20000000001</v>
      </c>
      <c r="G47" s="103">
        <f t="shared" si="10"/>
        <v>304444</v>
      </c>
      <c r="H47" s="117">
        <f t="shared" si="3"/>
        <v>0.20582194512839028</v>
      </c>
      <c r="I47" s="103"/>
      <c r="K47" s="117">
        <f t="shared" si="5"/>
        <v>0.33770746212504887</v>
      </c>
      <c r="L47" s="117">
        <f t="shared" si="8"/>
        <v>0.93407068121033476</v>
      </c>
    </row>
    <row r="48" spans="1:16">
      <c r="A48" s="63">
        <v>35642</v>
      </c>
      <c r="B48" s="103">
        <v>97874</v>
      </c>
      <c r="C48" s="103"/>
      <c r="D48" s="103">
        <v>12161</v>
      </c>
      <c r="E48" s="103">
        <f t="shared" si="11"/>
        <v>1479015</v>
      </c>
      <c r="F48" s="103">
        <f t="shared" si="9"/>
        <v>147901.5</v>
      </c>
      <c r="G48" s="103">
        <f t="shared" si="10"/>
        <v>299981</v>
      </c>
      <c r="H48" s="117">
        <f t="shared" si="3"/>
        <v>0.20282485302718364</v>
      </c>
      <c r="I48" s="103"/>
      <c r="K48" s="117">
        <f t="shared" si="5"/>
        <v>0.36133193795923768</v>
      </c>
      <c r="L48" s="117">
        <f t="shared" si="8"/>
        <v>1.0264604950281022</v>
      </c>
    </row>
    <row r="49" spans="1:20">
      <c r="A49" s="63">
        <v>35673</v>
      </c>
      <c r="B49" s="103">
        <v>49253</v>
      </c>
      <c r="C49" s="103">
        <f>B49+B48+B47</f>
        <v>240498</v>
      </c>
      <c r="D49" s="103">
        <v>-14251</v>
      </c>
      <c r="E49" s="103">
        <f t="shared" si="11"/>
        <v>1423420</v>
      </c>
      <c r="F49" s="103">
        <f t="shared" si="9"/>
        <v>142342</v>
      </c>
      <c r="G49" s="103">
        <f t="shared" si="10"/>
        <v>253379</v>
      </c>
      <c r="H49" s="117">
        <f t="shared" si="3"/>
        <v>0.1780071939413525</v>
      </c>
      <c r="I49" s="103">
        <f>D47+D48+D49</f>
        <v>7715</v>
      </c>
      <c r="K49" s="117">
        <f t="shared" si="5"/>
        <v>0.31561337740215767</v>
      </c>
      <c r="L49" s="117">
        <f t="shared" si="8"/>
        <v>0.71795184725640548</v>
      </c>
    </row>
    <row r="50" spans="1:20">
      <c r="A50" s="63">
        <v>35703</v>
      </c>
      <c r="B50" s="103">
        <v>141171</v>
      </c>
      <c r="C50" s="103"/>
      <c r="D50" s="103">
        <v>30293</v>
      </c>
      <c r="E50" s="103">
        <f t="shared" si="11"/>
        <v>1456366</v>
      </c>
      <c r="F50" s="103">
        <f t="shared" si="9"/>
        <v>145636.6</v>
      </c>
      <c r="G50" s="103">
        <f t="shared" si="10"/>
        <v>252478</v>
      </c>
      <c r="H50" s="117">
        <f t="shared" si="3"/>
        <v>0.17336164123578826</v>
      </c>
      <c r="K50" s="117">
        <f t="shared" si="5"/>
        <v>0.29608903745076365</v>
      </c>
      <c r="L50" s="117">
        <f t="shared" si="8"/>
        <v>0.37365614798694224</v>
      </c>
    </row>
    <row r="51" spans="1:20">
      <c r="A51" s="63">
        <v>35734</v>
      </c>
      <c r="B51" s="103">
        <v>96878</v>
      </c>
      <c r="D51">
        <v>15032</v>
      </c>
      <c r="E51" s="103">
        <f t="shared" ref="E51:E58" si="12">SUM(B40:B51)</f>
        <v>1442915</v>
      </c>
      <c r="F51" s="103">
        <f t="shared" si="9"/>
        <v>144291.5</v>
      </c>
      <c r="G51" s="103">
        <f t="shared" ref="G51:G58" si="13">SUM(D40:D51)</f>
        <v>243483</v>
      </c>
      <c r="H51" s="117">
        <f t="shared" si="3"/>
        <v>0.16874382759899231</v>
      </c>
      <c r="K51" s="117">
        <f t="shared" si="5"/>
        <v>0.27505412450846101</v>
      </c>
      <c r="L51" s="117">
        <f t="shared" si="8"/>
        <v>0.28117255205291314</v>
      </c>
    </row>
    <row r="52" spans="1:20">
      <c r="A52" s="207">
        <v>35764</v>
      </c>
      <c r="B52" s="208">
        <v>84295</v>
      </c>
      <c r="C52" s="208">
        <f>B52+B51+B50</f>
        <v>322344</v>
      </c>
      <c r="D52" s="64">
        <v>-7017</v>
      </c>
      <c r="E52" s="208">
        <f t="shared" si="12"/>
        <v>1384311</v>
      </c>
      <c r="F52" s="208">
        <f t="shared" si="9"/>
        <v>138431.1</v>
      </c>
      <c r="G52" s="208">
        <f t="shared" si="13"/>
        <v>232072</v>
      </c>
      <c r="H52" s="637">
        <f t="shared" si="3"/>
        <v>0.16764440938488534</v>
      </c>
      <c r="I52" s="208">
        <f>D50+D51+D52</f>
        <v>38308</v>
      </c>
      <c r="J52" s="64"/>
      <c r="K52" s="637">
        <f t="shared" si="5"/>
        <v>0.17106676795584774</v>
      </c>
      <c r="L52" s="637">
        <f t="shared" si="8"/>
        <v>0.28496996207192482</v>
      </c>
    </row>
    <row r="53" spans="1:20">
      <c r="A53" s="63">
        <v>35796</v>
      </c>
      <c r="B53" s="103">
        <v>112053</v>
      </c>
      <c r="C53" s="103"/>
      <c r="D53" s="103">
        <v>21107</v>
      </c>
      <c r="E53" s="103">
        <f t="shared" si="12"/>
        <v>1385653</v>
      </c>
      <c r="F53" s="103">
        <f t="shared" si="9"/>
        <v>138565.29999999999</v>
      </c>
      <c r="G53" s="103">
        <f t="shared" si="13"/>
        <v>234585</v>
      </c>
      <c r="H53" s="117">
        <f t="shared" si="3"/>
        <v>0.16929563173464063</v>
      </c>
      <c r="K53" s="117">
        <f t="shared" si="5"/>
        <v>0.1275839816937363</v>
      </c>
      <c r="L53" s="117">
        <f t="shared" si="8"/>
        <v>0.16311989924932813</v>
      </c>
    </row>
    <row r="54" spans="1:20">
      <c r="A54" s="63">
        <v>35827</v>
      </c>
      <c r="B54" s="103">
        <v>90900</v>
      </c>
      <c r="D54" s="103">
        <v>4601</v>
      </c>
      <c r="E54" s="103">
        <f t="shared" si="12"/>
        <v>1363312</v>
      </c>
      <c r="F54" s="103">
        <f t="shared" si="9"/>
        <v>136331.20000000001</v>
      </c>
      <c r="G54" s="103">
        <f t="shared" si="13"/>
        <v>208097</v>
      </c>
      <c r="H54" s="117">
        <f t="shared" si="3"/>
        <v>0.15264077481897026</v>
      </c>
      <c r="K54" s="117">
        <f t="shared" si="5"/>
        <v>8.4211120680948159E-2</v>
      </c>
      <c r="L54" s="117">
        <f t="shared" si="8"/>
        <v>-9.3677865561004547E-2</v>
      </c>
    </row>
    <row r="55" spans="1:20">
      <c r="A55" s="63">
        <v>35855</v>
      </c>
      <c r="B55" s="103">
        <v>154328</v>
      </c>
      <c r="C55">
        <f>B55+B54+B53</f>
        <v>357281</v>
      </c>
      <c r="D55" s="103">
        <v>30889</v>
      </c>
      <c r="E55" s="103">
        <f t="shared" si="12"/>
        <v>1371284</v>
      </c>
      <c r="F55" s="103">
        <f t="shared" si="9"/>
        <v>137128.4</v>
      </c>
      <c r="G55" s="103">
        <f t="shared" si="13"/>
        <v>191832</v>
      </c>
      <c r="H55" s="117">
        <f t="shared" si="3"/>
        <v>0.13989224697436856</v>
      </c>
      <c r="I55" s="103">
        <f>D53+D54+D55</f>
        <v>56597</v>
      </c>
      <c r="K55" s="117">
        <f t="shared" si="5"/>
        <v>2.7902022471236299E-2</v>
      </c>
      <c r="L55" s="117">
        <f t="shared" si="8"/>
        <v>-0.31729225907248382</v>
      </c>
    </row>
    <row r="56" spans="1:20">
      <c r="A56" s="63">
        <v>35886</v>
      </c>
      <c r="B56" s="103">
        <v>172117</v>
      </c>
      <c r="D56" s="103">
        <v>28326</v>
      </c>
      <c r="E56" s="103">
        <f t="shared" si="12"/>
        <v>1343526</v>
      </c>
      <c r="F56" s="103">
        <f t="shared" si="9"/>
        <v>134352.6</v>
      </c>
      <c r="G56" s="103">
        <f t="shared" si="13"/>
        <v>184036</v>
      </c>
      <c r="H56" s="117">
        <f t="shared" si="3"/>
        <v>0.13697985747949798</v>
      </c>
      <c r="K56" s="117">
        <f t="shared" si="5"/>
        <v>-5.9324098761006416E-2</v>
      </c>
      <c r="L56" s="117">
        <f t="shared" si="8"/>
        <v>-0.37540387173848122</v>
      </c>
    </row>
    <row r="57" spans="1:20">
      <c r="A57" s="63">
        <v>35916</v>
      </c>
      <c r="B57" s="103">
        <v>123255</v>
      </c>
      <c r="D57" s="103">
        <v>14803</v>
      </c>
      <c r="E57" s="103">
        <f t="shared" si="12"/>
        <v>1357724</v>
      </c>
      <c r="F57" s="103">
        <f t="shared" si="9"/>
        <v>135772.4</v>
      </c>
      <c r="G57" s="103">
        <f t="shared" si="13"/>
        <v>175722</v>
      </c>
      <c r="H57" s="117">
        <f t="shared" si="3"/>
        <v>0.12942394772427976</v>
      </c>
      <c r="K57" s="117">
        <f t="shared" si="5"/>
        <v>-5.6273650085772786E-2</v>
      </c>
      <c r="L57" s="117">
        <f t="shared" si="8"/>
        <v>-0.41017645499004773</v>
      </c>
    </row>
    <row r="58" spans="1:20">
      <c r="A58" s="63">
        <v>35947</v>
      </c>
      <c r="B58" s="103">
        <v>136151</v>
      </c>
      <c r="C58">
        <f>B58+B57+B56</f>
        <v>431523</v>
      </c>
      <c r="D58" s="103">
        <v>11331</v>
      </c>
      <c r="E58" s="103">
        <f t="shared" si="12"/>
        <v>1351646</v>
      </c>
      <c r="F58" s="103">
        <f t="shared" si="9"/>
        <v>135164.6</v>
      </c>
      <c r="G58" s="103">
        <f t="shared" si="13"/>
        <v>157080</v>
      </c>
      <c r="H58" s="117">
        <f t="shared" si="3"/>
        <v>0.11621386072980647</v>
      </c>
      <c r="I58" s="103">
        <f>D56+D57+D58</f>
        <v>54460</v>
      </c>
      <c r="K58" s="117">
        <f t="shared" si="5"/>
        <v>-8.7443389118288084E-2</v>
      </c>
      <c r="L58" s="117">
        <f t="shared" si="8"/>
        <v>-0.49289936434864301</v>
      </c>
    </row>
    <row r="59" spans="1:20">
      <c r="A59" s="63">
        <v>35977</v>
      </c>
      <c r="B59">
        <v>103522</v>
      </c>
      <c r="D59">
        <v>19588</v>
      </c>
      <c r="E59" s="103">
        <f t="shared" ref="E59:E88" si="14">SUM(B48:B59)</f>
        <v>1361797</v>
      </c>
      <c r="F59" s="103">
        <f t="shared" si="9"/>
        <v>136179.70000000001</v>
      </c>
      <c r="G59" s="103">
        <f t="shared" ref="G59:G76" si="15">SUM(D48:D59)</f>
        <v>166863</v>
      </c>
      <c r="H59" s="117">
        <f t="shared" si="3"/>
        <v>0.12253147862713752</v>
      </c>
      <c r="I59" s="103">
        <f t="shared" ref="I59:I76" si="16">D57+D58+D59</f>
        <v>45722</v>
      </c>
      <c r="K59" s="117">
        <f t="shared" ref="K59:K76" si="17">E59/E47-1</f>
        <v>-7.9345602442464025E-2</v>
      </c>
      <c r="L59" s="117">
        <f t="shared" ref="L59:L76" si="18">G59/G47-1</f>
        <v>-0.45190905388183045</v>
      </c>
    </row>
    <row r="60" spans="1:20">
      <c r="A60" s="63">
        <v>36008</v>
      </c>
      <c r="B60">
        <v>71794</v>
      </c>
      <c r="D60">
        <v>-5864</v>
      </c>
      <c r="E60" s="103">
        <f t="shared" si="14"/>
        <v>1335717</v>
      </c>
      <c r="F60" s="103">
        <f t="shared" si="9"/>
        <v>133571.70000000001</v>
      </c>
      <c r="G60" s="103">
        <f t="shared" si="15"/>
        <v>148838</v>
      </c>
      <c r="H60" s="117">
        <f t="shared" si="3"/>
        <v>0.11142929228272157</v>
      </c>
      <c r="I60" s="103">
        <f t="shared" si="16"/>
        <v>25055</v>
      </c>
      <c r="K60" s="117">
        <f t="shared" si="17"/>
        <v>-9.688745550247968E-2</v>
      </c>
      <c r="L60" s="117">
        <f t="shared" si="18"/>
        <v>-0.50384190998763256</v>
      </c>
      <c r="P60" s="64"/>
      <c r="Q60" s="64"/>
      <c r="R60" s="64"/>
      <c r="S60" s="64"/>
      <c r="T60" s="64"/>
    </row>
    <row r="61" spans="1:20">
      <c r="A61" s="63">
        <v>36039</v>
      </c>
      <c r="B61">
        <v>55310</v>
      </c>
      <c r="C61">
        <f>B61+B60+B59</f>
        <v>230626</v>
      </c>
      <c r="D61">
        <v>-15525</v>
      </c>
      <c r="E61" s="103">
        <f t="shared" si="14"/>
        <v>1341774</v>
      </c>
      <c r="F61" s="103">
        <f t="shared" si="9"/>
        <v>134177.4</v>
      </c>
      <c r="G61" s="103">
        <f t="shared" si="15"/>
        <v>147564</v>
      </c>
      <c r="H61" s="117">
        <f t="shared" si="3"/>
        <v>0.1099767919187583</v>
      </c>
      <c r="I61" s="103">
        <f t="shared" si="16"/>
        <v>-1801</v>
      </c>
      <c r="K61" s="117">
        <f t="shared" si="17"/>
        <v>-5.7359036686290721E-2</v>
      </c>
      <c r="L61" s="117">
        <f t="shared" si="18"/>
        <v>-0.41761550878328513</v>
      </c>
    </row>
    <row r="62" spans="1:20">
      <c r="A62" s="63">
        <v>36069</v>
      </c>
      <c r="B62">
        <v>96085</v>
      </c>
      <c r="D62">
        <v>11801</v>
      </c>
      <c r="E62" s="103">
        <f t="shared" si="14"/>
        <v>1296688</v>
      </c>
      <c r="F62" s="103">
        <f t="shared" si="9"/>
        <v>129668.8</v>
      </c>
      <c r="G62" s="103">
        <f t="shared" si="15"/>
        <v>129072</v>
      </c>
      <c r="H62" s="117">
        <f t="shared" si="3"/>
        <v>9.9539750502819491E-2</v>
      </c>
      <c r="I62" s="103">
        <f t="shared" si="16"/>
        <v>-9588</v>
      </c>
      <c r="K62" s="117">
        <f t="shared" si="17"/>
        <v>-0.10964139508887194</v>
      </c>
      <c r="L62" s="117">
        <f t="shared" si="18"/>
        <v>-0.48877922036771526</v>
      </c>
    </row>
    <row r="63" spans="1:20">
      <c r="A63" s="63">
        <v>36100</v>
      </c>
      <c r="B63">
        <v>120238</v>
      </c>
      <c r="D63">
        <v>14275</v>
      </c>
      <c r="E63" s="103">
        <f t="shared" si="14"/>
        <v>1320048</v>
      </c>
      <c r="F63" s="103">
        <f t="shared" si="9"/>
        <v>132004.79999999999</v>
      </c>
      <c r="G63" s="103">
        <f t="shared" si="15"/>
        <v>128315</v>
      </c>
      <c r="H63" s="117">
        <f t="shared" si="3"/>
        <v>9.7204798613383755E-2</v>
      </c>
      <c r="I63" s="103">
        <f t="shared" si="16"/>
        <v>10551</v>
      </c>
      <c r="K63" s="117">
        <f t="shared" si="17"/>
        <v>-8.5151932026488075E-2</v>
      </c>
      <c r="L63" s="117">
        <f t="shared" si="18"/>
        <v>-0.47300222192103758</v>
      </c>
    </row>
    <row r="64" spans="1:20" s="64" customFormat="1">
      <c r="A64" s="207">
        <v>36130</v>
      </c>
      <c r="B64" s="64">
        <v>95903</v>
      </c>
      <c r="C64" s="208">
        <f>B64+B63+B62</f>
        <v>312226</v>
      </c>
      <c r="D64" s="64">
        <v>-4400</v>
      </c>
      <c r="E64" s="208">
        <f t="shared" si="14"/>
        <v>1331656</v>
      </c>
      <c r="F64" s="208">
        <f t="shared" si="9"/>
        <v>133165.6</v>
      </c>
      <c r="G64" s="208">
        <f t="shared" si="15"/>
        <v>130932</v>
      </c>
      <c r="H64" s="637">
        <f t="shared" si="3"/>
        <v>9.8322689943949493E-2</v>
      </c>
      <c r="I64" s="208">
        <f t="shared" si="16"/>
        <v>21676</v>
      </c>
      <c r="K64" s="637">
        <f t="shared" si="17"/>
        <v>-3.8036972905654887E-2</v>
      </c>
      <c r="L64" s="637">
        <f t="shared" si="18"/>
        <v>-0.4358130235444172</v>
      </c>
      <c r="P64"/>
      <c r="Q64"/>
      <c r="R64"/>
      <c r="S64"/>
      <c r="T64"/>
    </row>
    <row r="65" spans="1:20">
      <c r="A65" s="63">
        <v>36161</v>
      </c>
      <c r="B65">
        <v>61795</v>
      </c>
      <c r="C65" s="103"/>
      <c r="D65">
        <v>-9184</v>
      </c>
      <c r="E65" s="103">
        <f t="shared" si="14"/>
        <v>1281398</v>
      </c>
      <c r="F65" s="103">
        <f t="shared" si="9"/>
        <v>128139.8</v>
      </c>
      <c r="G65" s="103">
        <f t="shared" si="15"/>
        <v>100641</v>
      </c>
      <c r="H65" s="117">
        <f t="shared" si="3"/>
        <v>7.8540000842829472E-2</v>
      </c>
      <c r="I65" s="103">
        <f t="shared" si="16"/>
        <v>691</v>
      </c>
      <c r="K65" s="117">
        <f t="shared" si="17"/>
        <v>-7.5238894586162619E-2</v>
      </c>
      <c r="L65" s="117">
        <f t="shared" si="18"/>
        <v>-0.57098279941172714</v>
      </c>
    </row>
    <row r="66" spans="1:20">
      <c r="A66" s="63">
        <v>36192</v>
      </c>
      <c r="B66">
        <v>64879</v>
      </c>
      <c r="C66" s="103"/>
      <c r="D66">
        <v>-16729</v>
      </c>
      <c r="E66" s="103">
        <f t="shared" si="14"/>
        <v>1255377</v>
      </c>
      <c r="F66" s="103">
        <f t="shared" si="9"/>
        <v>125537.7</v>
      </c>
      <c r="G66" s="103">
        <f t="shared" si="15"/>
        <v>79311</v>
      </c>
      <c r="H66" s="117">
        <f t="shared" si="3"/>
        <v>6.3177037654824006E-2</v>
      </c>
      <c r="I66" s="103">
        <f t="shared" si="16"/>
        <v>-30313</v>
      </c>
      <c r="K66" s="117">
        <f t="shared" si="17"/>
        <v>-7.9171165514570374E-2</v>
      </c>
      <c r="L66" s="117">
        <f t="shared" si="18"/>
        <v>-0.61887485163169098</v>
      </c>
    </row>
    <row r="67" spans="1:20">
      <c r="A67" s="63">
        <v>36220</v>
      </c>
      <c r="B67">
        <v>156668</v>
      </c>
      <c r="C67" s="103">
        <f>B67+B66+B65</f>
        <v>283342</v>
      </c>
      <c r="D67">
        <v>48116</v>
      </c>
      <c r="E67" s="103">
        <f t="shared" si="14"/>
        <v>1257717</v>
      </c>
      <c r="F67" s="103">
        <f t="shared" si="9"/>
        <v>125771.7</v>
      </c>
      <c r="G67" s="103">
        <f t="shared" si="15"/>
        <v>96538</v>
      </c>
      <c r="H67" s="117">
        <f t="shared" si="3"/>
        <v>7.675653585027474E-2</v>
      </c>
      <c r="I67" s="103">
        <f t="shared" si="16"/>
        <v>22203</v>
      </c>
      <c r="K67" s="117">
        <f t="shared" si="17"/>
        <v>-8.2818001230963056E-2</v>
      </c>
      <c r="L67" s="117">
        <f t="shared" si="18"/>
        <v>-0.49675757954877187</v>
      </c>
    </row>
    <row r="68" spans="1:20">
      <c r="A68" s="63">
        <v>36251</v>
      </c>
      <c r="B68">
        <v>135058</v>
      </c>
      <c r="C68" s="103"/>
      <c r="D68">
        <v>17766</v>
      </c>
      <c r="E68" s="103">
        <f t="shared" si="14"/>
        <v>1220658</v>
      </c>
      <c r="F68" s="103">
        <f t="shared" si="9"/>
        <v>122065.8</v>
      </c>
      <c r="G68" s="103">
        <f t="shared" si="15"/>
        <v>85978</v>
      </c>
      <c r="H68" s="117">
        <f t="shared" si="3"/>
        <v>7.0435781357267968E-2</v>
      </c>
      <c r="I68" s="103">
        <f t="shared" si="16"/>
        <v>49153</v>
      </c>
      <c r="K68" s="117">
        <f t="shared" si="17"/>
        <v>-9.1451895981171982E-2</v>
      </c>
      <c r="L68" s="117">
        <f t="shared" si="18"/>
        <v>-0.532819665717577</v>
      </c>
    </row>
    <row r="69" spans="1:20">
      <c r="A69" s="63">
        <v>36281</v>
      </c>
      <c r="B69">
        <v>102180</v>
      </c>
      <c r="C69" s="103"/>
      <c r="D69">
        <v>-3706</v>
      </c>
      <c r="E69" s="103">
        <f t="shared" si="14"/>
        <v>1199583</v>
      </c>
      <c r="F69" s="103">
        <f t="shared" si="9"/>
        <v>119958.3</v>
      </c>
      <c r="G69" s="103">
        <f t="shared" si="15"/>
        <v>67469</v>
      </c>
      <c r="H69" s="117">
        <f t="shared" si="3"/>
        <v>5.6243711356363003E-2</v>
      </c>
      <c r="I69" s="103">
        <f t="shared" si="16"/>
        <v>62176</v>
      </c>
      <c r="K69" s="117">
        <f t="shared" si="17"/>
        <v>-0.11647507151674419</v>
      </c>
      <c r="L69" s="117">
        <f t="shared" si="18"/>
        <v>-0.61604693777671549</v>
      </c>
    </row>
    <row r="70" spans="1:20">
      <c r="A70" s="63">
        <v>36312</v>
      </c>
      <c r="B70">
        <v>99059</v>
      </c>
      <c r="C70" s="103">
        <f>B70+B69+B68</f>
        <v>336297</v>
      </c>
      <c r="D70">
        <v>13187</v>
      </c>
      <c r="E70" s="103">
        <f t="shared" si="14"/>
        <v>1162491</v>
      </c>
      <c r="F70" s="103">
        <f t="shared" si="9"/>
        <v>116249.1</v>
      </c>
      <c r="G70" s="103">
        <f t="shared" si="15"/>
        <v>69325</v>
      </c>
      <c r="H70" s="117">
        <f t="shared" si="3"/>
        <v>5.9634870291468925E-2</v>
      </c>
      <c r="I70" s="103">
        <f t="shared" si="16"/>
        <v>27247</v>
      </c>
      <c r="K70" s="117">
        <f t="shared" si="17"/>
        <v>-0.13994418656956042</v>
      </c>
      <c r="L70" s="117">
        <f t="shared" si="18"/>
        <v>-0.55866437484084541</v>
      </c>
    </row>
    <row r="71" spans="1:20">
      <c r="A71" s="63">
        <v>36342</v>
      </c>
      <c r="B71">
        <v>113327</v>
      </c>
      <c r="C71" s="103"/>
      <c r="D71">
        <v>10603</v>
      </c>
      <c r="E71" s="103">
        <f t="shared" si="14"/>
        <v>1172296</v>
      </c>
      <c r="F71" s="103">
        <f t="shared" si="9"/>
        <v>117229.6</v>
      </c>
      <c r="G71" s="103">
        <f t="shared" si="15"/>
        <v>60340</v>
      </c>
      <c r="H71" s="117">
        <f t="shared" si="3"/>
        <v>5.14716419743819E-2</v>
      </c>
      <c r="I71" s="103">
        <f t="shared" si="16"/>
        <v>20084</v>
      </c>
      <c r="K71" s="117">
        <f t="shared" si="17"/>
        <v>-0.13915510167815026</v>
      </c>
      <c r="L71" s="117">
        <f t="shared" si="18"/>
        <v>-0.63838598131401203</v>
      </c>
    </row>
    <row r="72" spans="1:20">
      <c r="A72" s="63">
        <v>36373</v>
      </c>
      <c r="B72">
        <v>88149</v>
      </c>
      <c r="C72" s="103"/>
      <c r="D72">
        <v>-860</v>
      </c>
      <c r="E72" s="103">
        <f t="shared" si="14"/>
        <v>1188651</v>
      </c>
      <c r="F72" s="103">
        <f t="shared" si="9"/>
        <v>118865.1</v>
      </c>
      <c r="G72" s="103">
        <f t="shared" si="15"/>
        <v>65344</v>
      </c>
      <c r="H72" s="117">
        <f t="shared" si="3"/>
        <v>5.4973242776895824E-2</v>
      </c>
      <c r="I72" s="103">
        <f t="shared" si="16"/>
        <v>22930</v>
      </c>
      <c r="K72" s="117">
        <f t="shared" si="17"/>
        <v>-0.11010266396250101</v>
      </c>
      <c r="L72" s="117">
        <f t="shared" si="18"/>
        <v>-0.5609723323344844</v>
      </c>
      <c r="P72" s="64"/>
      <c r="Q72" s="64"/>
      <c r="R72" s="64"/>
      <c r="S72" s="64"/>
      <c r="T72" s="64"/>
    </row>
    <row r="73" spans="1:20">
      <c r="A73" s="63">
        <v>36404</v>
      </c>
      <c r="B73">
        <v>144879</v>
      </c>
      <c r="C73" s="103">
        <f>B73+B72+B71</f>
        <v>346355</v>
      </c>
      <c r="D73">
        <v>53435</v>
      </c>
      <c r="E73" s="103">
        <f t="shared" si="14"/>
        <v>1278220</v>
      </c>
      <c r="F73" s="103">
        <f t="shared" si="9"/>
        <v>127822</v>
      </c>
      <c r="G73" s="103">
        <f t="shared" si="15"/>
        <v>134304</v>
      </c>
      <c r="H73" s="117">
        <f t="shared" si="3"/>
        <v>0.10507111451862747</v>
      </c>
      <c r="I73" s="103">
        <f t="shared" si="16"/>
        <v>63178</v>
      </c>
      <c r="K73" s="117">
        <f t="shared" si="17"/>
        <v>-4.7365651741649528E-2</v>
      </c>
      <c r="L73" s="117">
        <f t="shared" si="18"/>
        <v>-8.9859315280149676E-2</v>
      </c>
    </row>
    <row r="74" spans="1:20">
      <c r="A74" s="63">
        <v>36434</v>
      </c>
      <c r="B74">
        <v>77434</v>
      </c>
      <c r="C74" s="103"/>
      <c r="D74">
        <v>-5584</v>
      </c>
      <c r="E74" s="103">
        <f t="shared" si="14"/>
        <v>1259569</v>
      </c>
      <c r="F74" s="103">
        <f t="shared" si="9"/>
        <v>125956.9</v>
      </c>
      <c r="G74" s="103">
        <f t="shared" si="15"/>
        <v>116919</v>
      </c>
      <c r="H74" s="117">
        <f t="shared" si="3"/>
        <v>9.2824609052779158E-2</v>
      </c>
      <c r="I74" s="103">
        <f t="shared" si="16"/>
        <v>46991</v>
      </c>
      <c r="K74" s="117">
        <f t="shared" si="17"/>
        <v>-2.862600718137287E-2</v>
      </c>
      <c r="L74" s="117">
        <f t="shared" si="18"/>
        <v>-9.4156749721085897E-2</v>
      </c>
    </row>
    <row r="75" spans="1:20">
      <c r="A75" s="63">
        <v>36465</v>
      </c>
      <c r="B75">
        <v>61994</v>
      </c>
      <c r="C75" s="103"/>
      <c r="D75">
        <v>-8732</v>
      </c>
      <c r="E75" s="103">
        <f t="shared" si="14"/>
        <v>1201325</v>
      </c>
      <c r="F75" s="103">
        <f t="shared" si="9"/>
        <v>120132.5</v>
      </c>
      <c r="G75" s="103">
        <f t="shared" si="15"/>
        <v>93912</v>
      </c>
      <c r="H75" s="117">
        <f t="shared" si="3"/>
        <v>7.8173683224772653E-2</v>
      </c>
      <c r="I75" s="103">
        <f t="shared" si="16"/>
        <v>39119</v>
      </c>
      <c r="K75" s="117">
        <f t="shared" si="17"/>
        <v>-8.993839617953292E-2</v>
      </c>
      <c r="L75" s="117">
        <f t="shared" si="18"/>
        <v>-0.26811362662198501</v>
      </c>
    </row>
    <row r="76" spans="1:20" s="64" customFormat="1">
      <c r="A76" s="207">
        <v>36495</v>
      </c>
      <c r="B76" s="64">
        <v>73130</v>
      </c>
      <c r="C76" s="208">
        <f>B76+B75+B74</f>
        <v>212558</v>
      </c>
      <c r="D76" s="64">
        <v>-19910</v>
      </c>
      <c r="E76" s="208">
        <f t="shared" si="14"/>
        <v>1178552</v>
      </c>
      <c r="F76" s="208">
        <f t="shared" si="9"/>
        <v>117855.2</v>
      </c>
      <c r="G76" s="208">
        <f t="shared" si="15"/>
        <v>78402</v>
      </c>
      <c r="H76" s="637">
        <f t="shared" si="3"/>
        <v>6.652400572906414E-2</v>
      </c>
      <c r="I76" s="208">
        <f t="shared" si="16"/>
        <v>-34226</v>
      </c>
      <c r="K76" s="637">
        <f t="shared" si="17"/>
        <v>-0.11497263557555404</v>
      </c>
      <c r="L76" s="637">
        <f t="shared" si="18"/>
        <v>-0.40120062322426908</v>
      </c>
      <c r="P76"/>
      <c r="Q76"/>
      <c r="R76"/>
      <c r="S76"/>
      <c r="T76"/>
    </row>
    <row r="77" spans="1:20">
      <c r="A77" s="63">
        <v>36526</v>
      </c>
      <c r="B77">
        <v>86176</v>
      </c>
      <c r="C77" s="103"/>
      <c r="D77">
        <v>78401</v>
      </c>
      <c r="E77" s="103">
        <f t="shared" si="14"/>
        <v>1202933</v>
      </c>
      <c r="F77" s="103">
        <f t="shared" si="9"/>
        <v>120293.3</v>
      </c>
      <c r="G77" s="103">
        <f t="shared" ref="G77:G88" si="19">SUM(D66:D77)</f>
        <v>165987</v>
      </c>
      <c r="H77" s="117">
        <f t="shared" si="3"/>
        <v>0.13798524107327673</v>
      </c>
      <c r="I77" s="103">
        <f t="shared" ref="I77:I88" si="20">D75+D76+D77</f>
        <v>49759</v>
      </c>
      <c r="K77" s="117">
        <f t="shared" ref="K77:K88" si="21">E77/E65-1</f>
        <v>-6.12339023472801E-2</v>
      </c>
      <c r="L77" s="117">
        <f t="shared" ref="L77:L88" si="22">G77/G65-1</f>
        <v>0.64929799982114655</v>
      </c>
    </row>
    <row r="78" spans="1:20">
      <c r="A78" s="63">
        <v>36557</v>
      </c>
      <c r="B78">
        <v>68123</v>
      </c>
      <c r="C78" s="103"/>
      <c r="D78">
        <v>-560</v>
      </c>
      <c r="E78" s="103">
        <f t="shared" si="14"/>
        <v>1206177</v>
      </c>
      <c r="F78" s="103">
        <f t="shared" si="9"/>
        <v>120617.7</v>
      </c>
      <c r="G78" s="103">
        <f t="shared" si="19"/>
        <v>182156</v>
      </c>
      <c r="H78" s="117">
        <f t="shared" si="3"/>
        <v>0.15101929484644458</v>
      </c>
      <c r="I78" s="103">
        <f t="shared" si="20"/>
        <v>57931</v>
      </c>
      <c r="K78" s="117">
        <f t="shared" si="21"/>
        <v>-3.9191414212622955E-2</v>
      </c>
      <c r="L78" s="117">
        <f t="shared" si="22"/>
        <v>1.2967305922255425</v>
      </c>
    </row>
    <row r="79" spans="1:20">
      <c r="A79" s="63">
        <v>36586</v>
      </c>
      <c r="B79">
        <v>81685</v>
      </c>
      <c r="C79" s="103">
        <f>B79+B78+B77</f>
        <v>235984</v>
      </c>
      <c r="D79">
        <v>1510</v>
      </c>
      <c r="E79" s="103">
        <f t="shared" si="14"/>
        <v>1131194</v>
      </c>
      <c r="F79" s="103">
        <f t="shared" si="9"/>
        <v>113119.4</v>
      </c>
      <c r="G79" s="103">
        <f t="shared" si="19"/>
        <v>135550</v>
      </c>
      <c r="H79" s="117">
        <f t="shared" si="3"/>
        <v>0.11982913629315572</v>
      </c>
      <c r="I79" s="103">
        <f t="shared" si="20"/>
        <v>79351</v>
      </c>
      <c r="K79" s="117">
        <f t="shared" si="21"/>
        <v>-0.1005973521865412</v>
      </c>
      <c r="L79" s="117">
        <f t="shared" si="22"/>
        <v>0.40411029853529179</v>
      </c>
    </row>
    <row r="80" spans="1:20">
      <c r="A80" s="63">
        <v>36617</v>
      </c>
      <c r="B80">
        <v>130756</v>
      </c>
      <c r="C80" s="103"/>
      <c r="D80">
        <v>29366</v>
      </c>
      <c r="E80" s="103">
        <f t="shared" si="14"/>
        <v>1126892</v>
      </c>
      <c r="F80" s="103">
        <f t="shared" si="9"/>
        <v>112689.2</v>
      </c>
      <c r="G80" s="103">
        <f t="shared" si="19"/>
        <v>147150</v>
      </c>
      <c r="H80" s="117">
        <f t="shared" si="3"/>
        <v>0.1305803927971802</v>
      </c>
      <c r="I80" s="103">
        <f t="shared" si="20"/>
        <v>30316</v>
      </c>
      <c r="K80" s="117">
        <f t="shared" si="21"/>
        <v>-7.6815946809016156E-2</v>
      </c>
      <c r="L80" s="117">
        <f t="shared" si="22"/>
        <v>0.71148433320151661</v>
      </c>
    </row>
    <row r="81" spans="1:20">
      <c r="A81" s="63">
        <v>36647</v>
      </c>
      <c r="B81">
        <v>89171</v>
      </c>
      <c r="C81" s="103"/>
      <c r="D81">
        <v>-3525</v>
      </c>
      <c r="E81" s="103">
        <f t="shared" si="14"/>
        <v>1113883</v>
      </c>
      <c r="F81" s="103">
        <f t="shared" si="9"/>
        <v>111388.3</v>
      </c>
      <c r="G81" s="103">
        <f t="shared" si="19"/>
        <v>147331</v>
      </c>
      <c r="H81" s="117">
        <f t="shared" ref="H81:H102" si="23">G81/E81</f>
        <v>0.13226793119205518</v>
      </c>
      <c r="I81" s="103">
        <f t="shared" si="20"/>
        <v>27351</v>
      </c>
      <c r="K81" s="117">
        <f t="shared" si="21"/>
        <v>-7.144149258534005E-2</v>
      </c>
      <c r="L81" s="117">
        <f t="shared" si="22"/>
        <v>1.1836843587425334</v>
      </c>
    </row>
    <row r="82" spans="1:20">
      <c r="A82" s="63">
        <v>36678</v>
      </c>
      <c r="B82">
        <v>96435</v>
      </c>
      <c r="C82" s="103">
        <f>B82+B81+B80</f>
        <v>316362</v>
      </c>
      <c r="D82">
        <v>6212</v>
      </c>
      <c r="E82" s="103">
        <f t="shared" si="14"/>
        <v>1111259</v>
      </c>
      <c r="F82" s="103">
        <f t="shared" si="9"/>
        <v>111125.9</v>
      </c>
      <c r="G82" s="103">
        <f t="shared" si="19"/>
        <v>140356</v>
      </c>
      <c r="H82" s="117">
        <f t="shared" si="23"/>
        <v>0.12630358899230512</v>
      </c>
      <c r="I82" s="103">
        <f t="shared" si="20"/>
        <v>32053</v>
      </c>
      <c r="K82" s="117">
        <f t="shared" si="21"/>
        <v>-4.4070878828309179E-2</v>
      </c>
      <c r="L82" s="117">
        <f t="shared" si="22"/>
        <v>1.0246087270104578</v>
      </c>
    </row>
    <row r="83" spans="1:20">
      <c r="A83" s="63">
        <v>36708</v>
      </c>
      <c r="B83">
        <v>84470</v>
      </c>
      <c r="C83" s="103"/>
      <c r="D83">
        <v>-6771</v>
      </c>
      <c r="E83" s="103">
        <f t="shared" si="14"/>
        <v>1082402</v>
      </c>
      <c r="F83" s="103">
        <f t="shared" si="9"/>
        <v>108240.2</v>
      </c>
      <c r="G83" s="103">
        <f t="shared" si="19"/>
        <v>122982</v>
      </c>
      <c r="H83" s="117">
        <f t="shared" si="23"/>
        <v>0.11361952398461939</v>
      </c>
      <c r="I83" s="103">
        <f t="shared" si="20"/>
        <v>-4084</v>
      </c>
      <c r="K83" s="117">
        <f t="shared" si="21"/>
        <v>-7.6681998403133722E-2</v>
      </c>
      <c r="L83" s="117">
        <f t="shared" si="22"/>
        <v>1.0381504806098776</v>
      </c>
    </row>
    <row r="84" spans="1:20">
      <c r="A84" s="63">
        <v>36739</v>
      </c>
      <c r="B84">
        <v>78768</v>
      </c>
      <c r="C84" s="103"/>
      <c r="D84">
        <v>-2853</v>
      </c>
      <c r="E84" s="103">
        <f t="shared" si="14"/>
        <v>1073021</v>
      </c>
      <c r="F84" s="103">
        <f t="shared" si="9"/>
        <v>107302.1</v>
      </c>
      <c r="G84" s="103">
        <f t="shared" si="19"/>
        <v>120989</v>
      </c>
      <c r="H84" s="117">
        <f t="shared" si="23"/>
        <v>0.11275548195235695</v>
      </c>
      <c r="I84" s="103">
        <f t="shared" si="20"/>
        <v>-3412</v>
      </c>
      <c r="K84" s="117">
        <f t="shared" si="21"/>
        <v>-9.7278343264759815E-2</v>
      </c>
      <c r="L84" s="117">
        <f t="shared" si="22"/>
        <v>0.85157015181194917</v>
      </c>
      <c r="P84" s="64"/>
      <c r="Q84" s="64"/>
      <c r="R84" s="64"/>
      <c r="S84" s="64"/>
      <c r="T84" s="64"/>
    </row>
    <row r="85" spans="1:20">
      <c r="A85" s="63">
        <v>36770</v>
      </c>
      <c r="B85">
        <v>88990</v>
      </c>
      <c r="C85" s="103">
        <f>B85+B84+B83</f>
        <v>252228</v>
      </c>
      <c r="D85">
        <v>4207</v>
      </c>
      <c r="E85" s="103">
        <f t="shared" si="14"/>
        <v>1017132</v>
      </c>
      <c r="F85" s="103">
        <f t="shared" si="9"/>
        <v>101713.2</v>
      </c>
      <c r="G85" s="103">
        <f t="shared" si="19"/>
        <v>71761</v>
      </c>
      <c r="H85" s="117">
        <f t="shared" si="23"/>
        <v>7.0552298030147509E-2</v>
      </c>
      <c r="I85" s="103">
        <f t="shared" si="20"/>
        <v>-5417</v>
      </c>
      <c r="K85" s="117">
        <f t="shared" si="21"/>
        <v>-0.20425904773826098</v>
      </c>
      <c r="L85" s="117">
        <f t="shared" si="22"/>
        <v>-0.46568233261853709</v>
      </c>
    </row>
    <row r="86" spans="1:20">
      <c r="A86" s="63">
        <v>36800</v>
      </c>
      <c r="B86">
        <v>66825</v>
      </c>
      <c r="C86" s="103"/>
      <c r="D86">
        <v>-11340</v>
      </c>
      <c r="E86" s="103">
        <f t="shared" si="14"/>
        <v>1006523</v>
      </c>
      <c r="F86" s="103">
        <f t="shared" si="9"/>
        <v>100652.3</v>
      </c>
      <c r="G86" s="103">
        <f t="shared" si="19"/>
        <v>66005</v>
      </c>
      <c r="H86" s="117">
        <f t="shared" si="23"/>
        <v>6.5577239665660897E-2</v>
      </c>
      <c r="I86" s="103">
        <f t="shared" si="20"/>
        <v>-9986</v>
      </c>
      <c r="K86" s="117">
        <f t="shared" si="21"/>
        <v>-0.20089887890222768</v>
      </c>
      <c r="L86" s="117">
        <f t="shared" si="22"/>
        <v>-0.43546386814803406</v>
      </c>
    </row>
    <row r="87" spans="1:20">
      <c r="A87" s="63">
        <v>36831</v>
      </c>
      <c r="B87" s="256">
        <v>36713</v>
      </c>
      <c r="C87" s="103"/>
      <c r="D87">
        <v>-19655</v>
      </c>
      <c r="E87" s="103">
        <f t="shared" si="14"/>
        <v>981242</v>
      </c>
      <c r="F87" s="103">
        <f t="shared" si="9"/>
        <v>98124.2</v>
      </c>
      <c r="G87" s="103">
        <f t="shared" si="19"/>
        <v>55082</v>
      </c>
      <c r="H87" s="117">
        <f t="shared" si="23"/>
        <v>5.6134979953976698E-2</v>
      </c>
      <c r="I87" s="103">
        <f t="shared" si="20"/>
        <v>-26788</v>
      </c>
      <c r="K87" s="117">
        <f t="shared" si="21"/>
        <v>-0.18320021642769446</v>
      </c>
      <c r="L87" s="117">
        <f t="shared" si="22"/>
        <v>-0.41347218672800068</v>
      </c>
    </row>
    <row r="88" spans="1:20" s="64" customFormat="1">
      <c r="A88" s="207">
        <v>36861</v>
      </c>
      <c r="B88" s="64">
        <v>120218</v>
      </c>
      <c r="C88" s="208">
        <f>B88+B87+B86</f>
        <v>223756</v>
      </c>
      <c r="D88" s="64">
        <v>514</v>
      </c>
      <c r="E88" s="208">
        <f t="shared" si="14"/>
        <v>1028330</v>
      </c>
      <c r="F88" s="208">
        <f t="shared" si="9"/>
        <v>102833</v>
      </c>
      <c r="G88" s="208">
        <f t="shared" si="19"/>
        <v>75506</v>
      </c>
      <c r="H88" s="637">
        <f t="shared" si="23"/>
        <v>7.3425845788803207E-2</v>
      </c>
      <c r="I88" s="208">
        <f t="shared" si="20"/>
        <v>-30481</v>
      </c>
      <c r="K88" s="637">
        <f t="shared" si="21"/>
        <v>-0.12746319212050039</v>
      </c>
      <c r="L88" s="637">
        <f t="shared" si="22"/>
        <v>-3.6937833218540383E-2</v>
      </c>
      <c r="P88"/>
      <c r="Q88"/>
      <c r="R88"/>
      <c r="S88"/>
      <c r="T88"/>
    </row>
    <row r="89" spans="1:20">
      <c r="A89" s="63">
        <v>36892</v>
      </c>
      <c r="B89">
        <v>86630</v>
      </c>
      <c r="C89" s="103"/>
      <c r="D89">
        <v>6779</v>
      </c>
      <c r="E89" s="103">
        <f t="shared" ref="E89:E94" si="24">SUM(B78:B89)</f>
        <v>1028784</v>
      </c>
      <c r="F89" s="103">
        <f t="shared" si="9"/>
        <v>102878.39999999999</v>
      </c>
      <c r="G89" s="103">
        <f t="shared" ref="G89:G94" si="25">SUM(D78:D89)</f>
        <v>3884</v>
      </c>
      <c r="H89" s="117">
        <f t="shared" si="23"/>
        <v>3.7753308760633915E-3</v>
      </c>
      <c r="I89" s="103">
        <f t="shared" ref="I89:I94" si="26">D87+D88+D89</f>
        <v>-12362</v>
      </c>
      <c r="K89" s="117">
        <f t="shared" ref="K89:K94" si="27">E89/E77-1</f>
        <v>-0.14477032386674904</v>
      </c>
      <c r="L89" s="117">
        <f t="shared" ref="L89:L94" si="28">G89/G77-1</f>
        <v>-0.97660057715363247</v>
      </c>
    </row>
    <row r="90" spans="1:20">
      <c r="A90" s="63">
        <v>36923</v>
      </c>
      <c r="B90">
        <v>99365</v>
      </c>
      <c r="C90" s="103"/>
      <c r="D90">
        <v>2847</v>
      </c>
      <c r="E90" s="103">
        <f t="shared" si="24"/>
        <v>1060026</v>
      </c>
      <c r="F90" s="103">
        <f t="shared" si="9"/>
        <v>106002.6</v>
      </c>
      <c r="G90" s="103">
        <f t="shared" si="25"/>
        <v>7291</v>
      </c>
      <c r="H90" s="117">
        <f t="shared" si="23"/>
        <v>6.8781331778654487E-3</v>
      </c>
      <c r="I90" s="103">
        <f t="shared" si="26"/>
        <v>10140</v>
      </c>
      <c r="K90" s="117">
        <f t="shared" si="27"/>
        <v>-0.12116878368597639</v>
      </c>
      <c r="L90" s="117">
        <f t="shared" si="28"/>
        <v>-0.95997386855222999</v>
      </c>
    </row>
    <row r="91" spans="1:20">
      <c r="A91" s="63">
        <v>36951</v>
      </c>
      <c r="B91">
        <v>194099</v>
      </c>
      <c r="C91" s="103">
        <f>B91+B90+B89</f>
        <v>380094</v>
      </c>
      <c r="D91">
        <v>23075</v>
      </c>
      <c r="E91" s="103">
        <f t="shared" si="24"/>
        <v>1172440</v>
      </c>
      <c r="F91" s="103">
        <f t="shared" si="9"/>
        <v>117244</v>
      </c>
      <c r="G91" s="103">
        <f t="shared" si="25"/>
        <v>28856</v>
      </c>
      <c r="H91" s="117">
        <f t="shared" si="23"/>
        <v>2.4611920439425471E-2</v>
      </c>
      <c r="I91" s="103">
        <f t="shared" si="26"/>
        <v>32701</v>
      </c>
      <c r="K91" s="117">
        <f t="shared" si="27"/>
        <v>3.6462357473607598E-2</v>
      </c>
      <c r="L91" s="117">
        <f t="shared" si="28"/>
        <v>-0.7871191442272224</v>
      </c>
    </row>
    <row r="92" spans="1:20">
      <c r="A92" s="63">
        <v>36982</v>
      </c>
      <c r="B92">
        <v>191328</v>
      </c>
      <c r="C92" s="103"/>
      <c r="D92">
        <v>52173</v>
      </c>
      <c r="E92" s="103">
        <f t="shared" si="24"/>
        <v>1233012</v>
      </c>
      <c r="F92" s="103">
        <f t="shared" si="9"/>
        <v>123301.2</v>
      </c>
      <c r="G92" s="103">
        <f t="shared" si="25"/>
        <v>51663</v>
      </c>
      <c r="H92" s="117">
        <f t="shared" si="23"/>
        <v>4.1899835524715087E-2</v>
      </c>
      <c r="I92" s="103">
        <f t="shared" si="26"/>
        <v>78095</v>
      </c>
      <c r="K92" s="117">
        <f t="shared" si="27"/>
        <v>9.4170515009424083E-2</v>
      </c>
      <c r="L92" s="117">
        <f t="shared" si="28"/>
        <v>-0.64890927624872585</v>
      </c>
    </row>
    <row r="93" spans="1:20">
      <c r="A93" s="63">
        <v>37012</v>
      </c>
      <c r="B93">
        <v>187126</v>
      </c>
      <c r="C93" s="103"/>
      <c r="D93">
        <v>52346</v>
      </c>
      <c r="E93" s="103">
        <f t="shared" si="24"/>
        <v>1330967</v>
      </c>
      <c r="F93" s="103">
        <f t="shared" si="9"/>
        <v>133096.70000000001</v>
      </c>
      <c r="G93" s="103">
        <f t="shared" si="25"/>
        <v>107534</v>
      </c>
      <c r="H93" s="117">
        <f>G93/E93</f>
        <v>8.0793888954421855E-2</v>
      </c>
      <c r="I93" s="103">
        <f t="shared" si="26"/>
        <v>127594</v>
      </c>
      <c r="K93" s="117">
        <f t="shared" si="27"/>
        <v>0.19488940939039368</v>
      </c>
      <c r="L93" s="117">
        <f t="shared" si="28"/>
        <v>-0.2701196625285921</v>
      </c>
    </row>
    <row r="94" spans="1:20">
      <c r="A94" s="63">
        <v>37043</v>
      </c>
      <c r="B94">
        <v>189186</v>
      </c>
      <c r="C94" s="103">
        <f>B94+B93+B92</f>
        <v>567640</v>
      </c>
      <c r="D94">
        <v>39943</v>
      </c>
      <c r="E94" s="103">
        <f t="shared" si="24"/>
        <v>1423718</v>
      </c>
      <c r="F94" s="103">
        <f t="shared" si="9"/>
        <v>142371.79999999999</v>
      </c>
      <c r="G94" s="103">
        <f t="shared" si="25"/>
        <v>141265</v>
      </c>
      <c r="H94" s="117">
        <f t="shared" si="23"/>
        <v>9.9222598857357985E-2</v>
      </c>
      <c r="I94" s="103">
        <f t="shared" si="26"/>
        <v>144462</v>
      </c>
      <c r="K94" s="117">
        <f t="shared" si="27"/>
        <v>0.28117567551758871</v>
      </c>
      <c r="L94" s="117">
        <f t="shared" si="28"/>
        <v>6.4763886118157643E-3</v>
      </c>
    </row>
    <row r="95" spans="1:20">
      <c r="A95" s="63">
        <v>37073</v>
      </c>
      <c r="C95" s="103"/>
      <c r="H95" s="117" t="e">
        <f t="shared" si="23"/>
        <v>#DIV/0!</v>
      </c>
    </row>
    <row r="96" spans="1:20">
      <c r="A96" s="63">
        <v>37104</v>
      </c>
      <c r="C96" s="103"/>
      <c r="H96" s="117" t="e">
        <f t="shared" si="23"/>
        <v>#DIV/0!</v>
      </c>
      <c r="P96" s="64"/>
      <c r="Q96" s="64"/>
      <c r="R96" s="64"/>
      <c r="S96" s="64"/>
      <c r="T96" s="64"/>
    </row>
    <row r="97" spans="1:20">
      <c r="A97" s="63">
        <v>37135</v>
      </c>
      <c r="C97" s="103">
        <f>B97+B96+B95</f>
        <v>0</v>
      </c>
      <c r="H97" s="117" t="e">
        <f t="shared" si="23"/>
        <v>#DIV/0!</v>
      </c>
    </row>
    <row r="98" spans="1:20">
      <c r="A98" s="63">
        <v>37165</v>
      </c>
      <c r="C98" s="103"/>
      <c r="H98" s="117" t="e">
        <f t="shared" si="23"/>
        <v>#DIV/0!</v>
      </c>
    </row>
    <row r="99" spans="1:20">
      <c r="A99" s="63">
        <v>37196</v>
      </c>
      <c r="H99" s="117" t="e">
        <f t="shared" si="23"/>
        <v>#DIV/0!</v>
      </c>
    </row>
    <row r="100" spans="1:20" s="64" customFormat="1">
      <c r="A100" s="207">
        <v>37226</v>
      </c>
      <c r="C100" s="208">
        <f>B100+B99+B98</f>
        <v>0</v>
      </c>
      <c r="H100" s="637" t="e">
        <f t="shared" si="23"/>
        <v>#DIV/0!</v>
      </c>
      <c r="P100"/>
      <c r="Q100"/>
      <c r="R100"/>
      <c r="S100"/>
      <c r="T100"/>
    </row>
    <row r="101" spans="1:20">
      <c r="A101" s="63">
        <v>37257</v>
      </c>
      <c r="H101" s="117" t="e">
        <f t="shared" si="23"/>
        <v>#DIV/0!</v>
      </c>
    </row>
    <row r="102" spans="1:20">
      <c r="A102" s="63">
        <v>37288</v>
      </c>
      <c r="H102" s="117" t="e">
        <f t="shared" si="23"/>
        <v>#DIV/0!</v>
      </c>
    </row>
    <row r="105" spans="1:20">
      <c r="A105" t="s">
        <v>935</v>
      </c>
      <c r="B105" s="670">
        <f>MAX(B5:B102)</f>
        <v>199875</v>
      </c>
      <c r="C105" s="103">
        <f t="shared" ref="C105:L105" si="29">MAX(C5:C102)</f>
        <v>567640</v>
      </c>
      <c r="D105" s="103">
        <f t="shared" si="29"/>
        <v>78401</v>
      </c>
      <c r="E105" s="103">
        <f t="shared" si="29"/>
        <v>1481164</v>
      </c>
      <c r="F105" s="103"/>
      <c r="G105" s="103">
        <f t="shared" si="29"/>
        <v>309761</v>
      </c>
      <c r="H105" s="103"/>
      <c r="I105" s="103">
        <f t="shared" si="29"/>
        <v>144462</v>
      </c>
      <c r="J105" s="103">
        <f t="shared" si="29"/>
        <v>0</v>
      </c>
      <c r="K105" s="117">
        <f t="shared" si="29"/>
        <v>0.39447893132543532</v>
      </c>
      <c r="L105" s="117">
        <f t="shared" si="29"/>
        <v>24.941166776532629</v>
      </c>
    </row>
    <row r="106" spans="1:20">
      <c r="A106" t="s">
        <v>425</v>
      </c>
      <c r="B106" s="256">
        <f>MIN(B5:B102)</f>
        <v>36713</v>
      </c>
      <c r="C106">
        <f t="shared" ref="C106:L106" si="30">MIN(C5:C102)</f>
        <v>0</v>
      </c>
      <c r="D106">
        <f t="shared" si="30"/>
        <v>-49230</v>
      </c>
      <c r="E106">
        <f t="shared" si="30"/>
        <v>981242</v>
      </c>
      <c r="G106">
        <f t="shared" si="30"/>
        <v>-37818</v>
      </c>
      <c r="I106">
        <f t="shared" si="30"/>
        <v>-65810</v>
      </c>
      <c r="J106">
        <f t="shared" si="30"/>
        <v>0</v>
      </c>
      <c r="K106" s="117">
        <f t="shared" si="30"/>
        <v>-0.20425904773826098</v>
      </c>
      <c r="L106" s="117">
        <f t="shared" si="30"/>
        <v>-31.787240729101192</v>
      </c>
    </row>
  </sheetData>
  <mergeCells count="1">
    <mergeCell ref="K27:L27"/>
  </mergeCells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D36" sqref="D36"/>
    </sheetView>
  </sheetViews>
  <sheetFormatPr baseColWidth="10" defaultRowHeight="13" x14ac:dyDescent="0"/>
  <cols>
    <col min="2" max="2" width="10.7109375" style="186"/>
    <col min="3" max="3" width="19.140625" customWidth="1"/>
  </cols>
  <sheetData>
    <row r="1" spans="1:2">
      <c r="A1" t="s">
        <v>760</v>
      </c>
      <c r="B1" s="186" t="s">
        <v>380</v>
      </c>
    </row>
    <row r="2" spans="1:2">
      <c r="A2" s="63">
        <v>35095</v>
      </c>
      <c r="B2" s="186">
        <v>31.003520358345501</v>
      </c>
    </row>
    <row r="3" spans="1:2">
      <c r="A3" s="63">
        <v>35216</v>
      </c>
      <c r="B3" s="186">
        <v>44.055048177972999</v>
      </c>
    </row>
    <row r="4" spans="1:2">
      <c r="A4" s="63">
        <v>35338</v>
      </c>
      <c r="B4" s="186">
        <v>54.35</v>
      </c>
    </row>
    <row r="5" spans="1:2">
      <c r="A5" s="63">
        <v>35488</v>
      </c>
      <c r="B5" s="186">
        <v>44.700910273081902</v>
      </c>
    </row>
    <row r="6" spans="1:2">
      <c r="A6" s="63">
        <v>35581</v>
      </c>
      <c r="B6" s="186">
        <v>55.81</v>
      </c>
    </row>
    <row r="7" spans="1:2">
      <c r="A7" s="63">
        <v>35732</v>
      </c>
      <c r="B7" s="186">
        <v>67.92</v>
      </c>
    </row>
    <row r="8" spans="1:2">
      <c r="A8" s="63">
        <v>35826</v>
      </c>
      <c r="B8" s="186">
        <v>64.95</v>
      </c>
    </row>
    <row r="9" spans="1:2">
      <c r="A9" s="63">
        <v>35975</v>
      </c>
      <c r="B9" s="186">
        <v>57.34</v>
      </c>
    </row>
    <row r="10" spans="1:2">
      <c r="A10" s="63">
        <v>36100</v>
      </c>
      <c r="B10" s="186">
        <v>44.04</v>
      </c>
    </row>
    <row r="11" spans="1:2">
      <c r="A11" s="63">
        <v>36193</v>
      </c>
      <c r="B11" s="186">
        <v>43.86</v>
      </c>
    </row>
    <row r="12" spans="1:2">
      <c r="A12" s="63">
        <v>36313</v>
      </c>
      <c r="B12" s="186">
        <v>49.67</v>
      </c>
    </row>
    <row r="13" spans="1:2">
      <c r="A13" s="63">
        <v>36435</v>
      </c>
      <c r="B13" s="186">
        <v>53.39</v>
      </c>
    </row>
    <row r="14" spans="1:2">
      <c r="A14" s="63">
        <v>36558</v>
      </c>
      <c r="B14" s="186">
        <v>51.49</v>
      </c>
    </row>
    <row r="15" spans="1:2">
      <c r="A15" s="63">
        <v>36679</v>
      </c>
      <c r="B15" s="186">
        <v>52.38</v>
      </c>
    </row>
    <row r="16" spans="1:2">
      <c r="A16" s="63">
        <v>36801</v>
      </c>
      <c r="B16" s="186">
        <v>52.3</v>
      </c>
    </row>
    <row r="17" spans="1:2">
      <c r="A17" s="63">
        <v>36924</v>
      </c>
      <c r="B17" s="186">
        <v>43.75</v>
      </c>
    </row>
    <row r="18" spans="1:2">
      <c r="A18" s="63">
        <v>37044</v>
      </c>
      <c r="B18" s="186">
        <v>52.92</v>
      </c>
    </row>
    <row r="19" spans="1:2">
      <c r="A19" s="63">
        <v>37166</v>
      </c>
      <c r="B19" s="186">
        <v>49.524629721771333</v>
      </c>
    </row>
    <row r="20" spans="1:2">
      <c r="A20" s="63">
        <v>37289</v>
      </c>
      <c r="B20" s="186">
        <v>48.166588089431229</v>
      </c>
    </row>
    <row r="21" spans="1:2">
      <c r="A21" s="63">
        <v>37409</v>
      </c>
      <c r="B21" s="186">
        <v>49.79385003294103</v>
      </c>
    </row>
    <row r="22" spans="1:2">
      <c r="A22" s="63">
        <v>37531</v>
      </c>
      <c r="B22" s="186">
        <v>48.564041793714679</v>
      </c>
    </row>
    <row r="23" spans="1:2">
      <c r="A23" s="63">
        <v>37654</v>
      </c>
      <c r="B23" s="186">
        <v>44.673243851144512</v>
      </c>
    </row>
    <row r="24" spans="1:2">
      <c r="A24" s="63">
        <v>37774</v>
      </c>
      <c r="B24" s="186">
        <v>70.709999999999994</v>
      </c>
    </row>
    <row r="25" spans="1:2">
      <c r="A25" s="63">
        <v>37896</v>
      </c>
      <c r="B25" s="186">
        <v>101.37</v>
      </c>
    </row>
    <row r="26" spans="1:2">
      <c r="A26" s="63">
        <v>38019</v>
      </c>
      <c r="B26" s="186">
        <v>129.85</v>
      </c>
    </row>
    <row r="27" spans="1:2">
      <c r="A27" s="63">
        <v>38140</v>
      </c>
      <c r="B27" s="186">
        <v>168.03</v>
      </c>
    </row>
    <row r="28" spans="1:2">
      <c r="A28" s="63">
        <v>38262</v>
      </c>
      <c r="B28" s="186">
        <v>209.73</v>
      </c>
    </row>
    <row r="29" spans="1:2">
      <c r="A29" s="63">
        <v>38385</v>
      </c>
      <c r="B29" s="186">
        <v>184.7</v>
      </c>
    </row>
    <row r="30" spans="1:2">
      <c r="A30" s="63">
        <v>38505</v>
      </c>
      <c r="B30" s="186">
        <v>124.64</v>
      </c>
    </row>
    <row r="31" spans="1:2">
      <c r="A31" s="63">
        <v>38627</v>
      </c>
      <c r="B31" s="186">
        <v>79.09</v>
      </c>
    </row>
    <row r="32" spans="1:2">
      <c r="A32" s="63">
        <v>38750</v>
      </c>
      <c r="B32" s="186">
        <v>71.53</v>
      </c>
    </row>
    <row r="33" spans="1:3">
      <c r="A33" s="63">
        <v>38870</v>
      </c>
      <c r="B33" s="186">
        <v>82.9</v>
      </c>
    </row>
    <row r="34" spans="1:3">
      <c r="A34" s="63">
        <v>38992</v>
      </c>
      <c r="B34" s="186">
        <v>98.48</v>
      </c>
    </row>
    <row r="35" spans="1:3">
      <c r="A35" s="63">
        <v>39115</v>
      </c>
      <c r="B35" s="186">
        <v>137.97999999999999</v>
      </c>
    </row>
    <row r="36" spans="1:3">
      <c r="A36" s="63">
        <v>39235</v>
      </c>
      <c r="B36" s="186">
        <v>133.22999999999999</v>
      </c>
      <c r="C36" s="103">
        <f>B36*121320</f>
        <v>16163463.6</v>
      </c>
    </row>
    <row r="37" spans="1:3">
      <c r="A37" s="63"/>
    </row>
    <row r="38" spans="1:3">
      <c r="A38" s="63"/>
    </row>
  </sheetData>
  <phoneticPr fontId="59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R75"/>
  <sheetViews>
    <sheetView workbookViewId="0">
      <pane xSplit="1" ySplit="2" topLeftCell="B3" activePane="bottomRight" state="frozenSplit"/>
      <selection pane="topRight"/>
      <selection pane="bottomLeft"/>
      <selection pane="bottomRight" activeCell="A30" sqref="A30:XFD30"/>
    </sheetView>
  </sheetViews>
  <sheetFormatPr baseColWidth="10" defaultRowHeight="13" x14ac:dyDescent="0"/>
  <cols>
    <col min="1" max="1" width="25" customWidth="1"/>
    <col min="2" max="3" width="12" bestFit="1" customWidth="1"/>
    <col min="4" max="4" width="12" customWidth="1"/>
    <col min="5" max="5" width="13.42578125" bestFit="1" customWidth="1"/>
    <col min="6" max="6" width="12" customWidth="1"/>
    <col min="7" max="7" width="13.42578125" customWidth="1"/>
    <col min="8" max="9" width="12" customWidth="1"/>
    <col min="14" max="14" width="12" bestFit="1" customWidth="1"/>
    <col min="15" max="15" width="11.85546875" bestFit="1" customWidth="1"/>
  </cols>
  <sheetData>
    <row r="1" spans="1:44" ht="39">
      <c r="B1" s="132" t="s">
        <v>785</v>
      </c>
      <c r="C1" s="132" t="s">
        <v>785</v>
      </c>
      <c r="D1" s="132" t="s">
        <v>785</v>
      </c>
      <c r="E1" s="132" t="s">
        <v>785</v>
      </c>
      <c r="F1" s="132" t="s">
        <v>785</v>
      </c>
      <c r="G1" s="132" t="s">
        <v>785</v>
      </c>
      <c r="H1" s="132"/>
      <c r="I1" s="132"/>
      <c r="J1" s="132" t="s">
        <v>1169</v>
      </c>
      <c r="K1" s="132" t="s">
        <v>807</v>
      </c>
      <c r="L1" s="132" t="s">
        <v>1499</v>
      </c>
      <c r="M1" s="132" t="s">
        <v>1281</v>
      </c>
      <c r="N1" s="132" t="s">
        <v>1249</v>
      </c>
      <c r="O1" s="201"/>
    </row>
    <row r="2" spans="1:44">
      <c r="B2" s="238">
        <v>35095</v>
      </c>
      <c r="C2" s="238">
        <v>35216</v>
      </c>
      <c r="D2" s="238">
        <v>35338</v>
      </c>
      <c r="E2" s="238">
        <v>35488</v>
      </c>
      <c r="F2" s="238">
        <v>35581</v>
      </c>
      <c r="G2" s="238">
        <v>35732</v>
      </c>
      <c r="H2" s="238">
        <v>35826</v>
      </c>
      <c r="I2" s="238">
        <v>35975</v>
      </c>
      <c r="J2" s="238">
        <v>35033</v>
      </c>
      <c r="K2" s="238">
        <v>34972</v>
      </c>
      <c r="L2" s="238">
        <v>34942</v>
      </c>
    </row>
    <row r="3" spans="1:44">
      <c r="B3" s="238"/>
    </row>
    <row r="4" spans="1:44">
      <c r="A4" s="256" t="s">
        <v>1552</v>
      </c>
      <c r="B4" s="257">
        <v>2370000</v>
      </c>
      <c r="C4" s="257">
        <f>2499047+237164-62000+263197+1581.5</f>
        <v>2938989.5</v>
      </c>
      <c r="D4" s="257">
        <f>2580560+531921-70000+161485+6000+4952</f>
        <v>3214918</v>
      </c>
      <c r="E4" s="257">
        <f>2480497.36+246386.76-75000+223186.55+816</f>
        <v>2875886.67</v>
      </c>
      <c r="F4" s="286"/>
      <c r="G4" s="257">
        <f>3634272.53+268244.69</f>
        <v>3902517.2199999997</v>
      </c>
      <c r="H4" s="445"/>
      <c r="I4" s="445"/>
      <c r="J4" s="238">
        <v>35095</v>
      </c>
      <c r="K4" s="238"/>
      <c r="L4" s="151"/>
      <c r="M4" s="238"/>
      <c r="N4" s="257">
        <v>12069720</v>
      </c>
      <c r="O4" s="258">
        <v>2370000</v>
      </c>
      <c r="P4" s="257">
        <v>378734.46</v>
      </c>
      <c r="Q4" s="257">
        <v>685081</v>
      </c>
      <c r="R4" s="257">
        <v>2582502.86</v>
      </c>
      <c r="S4" s="257"/>
      <c r="T4" s="257">
        <v>2903280.06</v>
      </c>
      <c r="U4" s="103">
        <f>R4-P4-Q4</f>
        <v>1518687.4</v>
      </c>
      <c r="V4" s="257">
        <v>227278.47</v>
      </c>
      <c r="W4" s="257">
        <v>1166706</v>
      </c>
      <c r="X4" s="257">
        <v>428000</v>
      </c>
      <c r="Y4" s="103">
        <v>1594706</v>
      </c>
      <c r="Z4" s="208">
        <v>637882.4</v>
      </c>
      <c r="AA4" s="103">
        <f>Y4-Z4</f>
        <v>956823.6</v>
      </c>
      <c r="AB4" s="446">
        <f>9*(1.005)^2</f>
        <v>9.0902249999999967</v>
      </c>
      <c r="AC4" s="103">
        <f>AA4*AB4</f>
        <v>8697741.8093099967</v>
      </c>
      <c r="AD4" s="103">
        <v>4091736</v>
      </c>
      <c r="AE4" s="103">
        <f>V4</f>
        <v>227278.47</v>
      </c>
      <c r="AF4" s="208">
        <f>(O4-P4-U4)*0.24</f>
        <v>113418.75360000003</v>
      </c>
      <c r="AG4" s="103">
        <f>AC4-AD4+AE4-AF4</f>
        <v>4719865.525709996</v>
      </c>
      <c r="AH4" s="103">
        <f>T4</f>
        <v>2903280.06</v>
      </c>
      <c r="AI4" s="103">
        <f>AVERAGE(AG4:AH4)</f>
        <v>3811572.7928549983</v>
      </c>
      <c r="AJ4" s="260">
        <v>122940</v>
      </c>
      <c r="AK4" s="266">
        <f>AI4/AJ4</f>
        <v>31.003520358345519</v>
      </c>
      <c r="AL4" s="266">
        <v>31.003520358345519</v>
      </c>
    </row>
    <row r="5" spans="1:44">
      <c r="A5" s="256" t="s">
        <v>1283</v>
      </c>
      <c r="B5" s="257">
        <v>378734.46</v>
      </c>
      <c r="C5" s="257">
        <f>569192+63967.27</f>
        <v>633159.27</v>
      </c>
      <c r="D5" s="257">
        <f>493545+32065</f>
        <v>525610</v>
      </c>
      <c r="E5" s="257">
        <f>304939+25205</f>
        <v>330144</v>
      </c>
      <c r="F5" s="256"/>
      <c r="G5" s="257">
        <v>453821.22</v>
      </c>
      <c r="H5" s="448"/>
      <c r="I5" s="448"/>
      <c r="J5" s="238">
        <v>35216</v>
      </c>
      <c r="L5" s="257">
        <f>2499047+237164-62000+263197+1581.5</f>
        <v>2938989.5</v>
      </c>
      <c r="M5" s="257">
        <f>569192+63967.27</f>
        <v>633159.27</v>
      </c>
      <c r="N5" s="257">
        <v>660383</v>
      </c>
      <c r="O5" s="257"/>
      <c r="P5" s="257">
        <v>2529126</v>
      </c>
      <c r="Q5" s="257"/>
      <c r="R5" s="257"/>
      <c r="S5" s="257"/>
      <c r="T5" s="257">
        <v>3694878</v>
      </c>
      <c r="U5" s="103">
        <f>P5-M5-N5</f>
        <v>1235583.73</v>
      </c>
      <c r="V5" s="257">
        <v>102989</v>
      </c>
      <c r="W5" s="257">
        <v>1628153</v>
      </c>
      <c r="X5" s="257">
        <v>418410</v>
      </c>
      <c r="Y5" s="103">
        <f>W5+X5</f>
        <v>2046563</v>
      </c>
      <c r="Z5" s="208">
        <f>Y5*0.4</f>
        <v>818625.20000000007</v>
      </c>
      <c r="AA5" s="103">
        <f>Y5-Z5</f>
        <v>1227937.7999999998</v>
      </c>
      <c r="AB5" s="64">
        <v>9.27</v>
      </c>
      <c r="AC5" s="103">
        <f>AA5*AB5</f>
        <v>11382983.405999998</v>
      </c>
      <c r="AD5" s="103">
        <v>4091736</v>
      </c>
      <c r="AE5" s="103">
        <v>102989</v>
      </c>
      <c r="AF5" s="208">
        <f>(L5-M5-U5)*0.24</f>
        <v>256859.16</v>
      </c>
      <c r="AG5" s="103">
        <f>AC5-AD5+AE5-AF5</f>
        <v>7137377.2459999975</v>
      </c>
      <c r="AH5" s="103">
        <v>3694878</v>
      </c>
      <c r="AI5" s="103">
        <f>AVERAGE(AG5:AH5)</f>
        <v>5416127.6229999987</v>
      </c>
      <c r="AJ5">
        <v>122940</v>
      </c>
      <c r="AK5" s="186">
        <f>AI5/AJ5</f>
        <v>44.055048177972985</v>
      </c>
      <c r="AL5" s="186">
        <v>44.055048177972985</v>
      </c>
      <c r="AM5" s="186"/>
    </row>
    <row r="6" spans="1:44">
      <c r="A6" s="256" t="s">
        <v>642</v>
      </c>
      <c r="B6" s="257">
        <v>12069720</v>
      </c>
      <c r="C6" s="257">
        <v>660383</v>
      </c>
      <c r="D6" s="257">
        <f>350000+256300+4885+160000+384233+16150</f>
        <v>1171568</v>
      </c>
      <c r="E6" s="257">
        <f>429000+284233+3820.43+160000+16234</f>
        <v>893287.43</v>
      </c>
      <c r="F6" s="256"/>
      <c r="G6" s="257">
        <v>577186.84</v>
      </c>
      <c r="H6" s="256"/>
      <c r="I6" s="256"/>
      <c r="J6" s="238">
        <v>35338</v>
      </c>
      <c r="L6" s="257">
        <f>2580560+531921-70000+161485+6000+4952</f>
        <v>3214918</v>
      </c>
      <c r="M6" s="257">
        <f>493545+32065</f>
        <v>525610</v>
      </c>
      <c r="N6" s="257">
        <f>350000+256300+4885+160000+384233+16150</f>
        <v>1171568</v>
      </c>
      <c r="O6" s="257">
        <v>2888622</v>
      </c>
      <c r="P6" s="257">
        <v>2519975</v>
      </c>
      <c r="Q6" s="257">
        <v>208318.19</v>
      </c>
      <c r="R6" s="257">
        <v>375000</v>
      </c>
      <c r="S6" s="257">
        <v>172918</v>
      </c>
      <c r="T6" s="257">
        <f>4385034-375000</f>
        <v>4010034</v>
      </c>
      <c r="U6" s="103">
        <f>P6-M6-N6-S6</f>
        <v>649879</v>
      </c>
      <c r="V6" s="257">
        <v>196940</v>
      </c>
      <c r="W6" s="257">
        <v>1886192</v>
      </c>
      <c r="X6" s="288">
        <f>32927+ 35479+348350</f>
        <v>416756</v>
      </c>
      <c r="Y6" s="103">
        <f>W6+X6</f>
        <v>2302948</v>
      </c>
      <c r="Z6" s="208">
        <f>Y6*0.4</f>
        <v>921179.20000000007</v>
      </c>
      <c r="AA6" s="103">
        <f>Y6-Z6</f>
        <v>1381768.7999999998</v>
      </c>
      <c r="AB6" s="286">
        <v>9.2799999999999994</v>
      </c>
      <c r="AC6" s="103">
        <f>AA6*AB6</f>
        <v>12822814.463999998</v>
      </c>
      <c r="AD6" s="103">
        <f>N6</f>
        <v>1171568</v>
      </c>
      <c r="AE6" s="103">
        <f>V6</f>
        <v>196940</v>
      </c>
      <c r="AF6" s="208">
        <f>(L6-M6-U6)*0.2</f>
        <v>407885.80000000005</v>
      </c>
      <c r="AG6" s="103">
        <f>AC6-AD6+AE6-AF6</f>
        <v>11440300.663999997</v>
      </c>
      <c r="AH6" s="103">
        <f>T6</f>
        <v>4010034</v>
      </c>
      <c r="AI6" s="103">
        <f>AVERAGE(AG6:AH6)</f>
        <v>7725167.3319999985</v>
      </c>
      <c r="AJ6" s="256">
        <v>122940</v>
      </c>
      <c r="AK6" s="186">
        <f>AI6/AJ6</f>
        <v>62.83689061330729</v>
      </c>
      <c r="AL6">
        <v>54.35</v>
      </c>
      <c r="AM6" s="186"/>
    </row>
    <row r="7" spans="1:44">
      <c r="A7" s="256" t="s">
        <v>839</v>
      </c>
      <c r="B7" s="258">
        <v>2370000</v>
      </c>
      <c r="C7" s="257"/>
      <c r="D7" s="257">
        <v>2888622</v>
      </c>
      <c r="E7" s="257">
        <v>2748717.43</v>
      </c>
      <c r="F7" s="256"/>
      <c r="G7" s="257">
        <v>2924662.36</v>
      </c>
      <c r="H7" s="256"/>
      <c r="I7" s="256"/>
      <c r="J7" s="238">
        <v>35488</v>
      </c>
      <c r="L7" s="257">
        <f>2480497.36+246386.76-75000+223186.55+816</f>
        <v>2875886.67</v>
      </c>
      <c r="M7" s="257">
        <f>304939+25205</f>
        <v>330144</v>
      </c>
      <c r="N7" s="257">
        <f>429000+284233+3820.43+160000+16234</f>
        <v>893287.43</v>
      </c>
      <c r="O7" s="257">
        <v>2748717.43</v>
      </c>
      <c r="P7" s="257">
        <v>2767603</v>
      </c>
      <c r="Q7" s="257"/>
      <c r="R7" s="257">
        <v>606185.23</v>
      </c>
      <c r="S7" s="257">
        <v>252176</v>
      </c>
      <c r="T7" s="257">
        <v>4057168</v>
      </c>
      <c r="U7" s="103">
        <f>P7-M7-N7-S7+R7</f>
        <v>1898180.7999999998</v>
      </c>
      <c r="V7" s="257">
        <v>224332</v>
      </c>
      <c r="W7" s="257">
        <v>2003081</v>
      </c>
      <c r="X7" s="288">
        <v>399387</v>
      </c>
      <c r="Y7" s="103">
        <f>W7+X7+R7</f>
        <v>3008653.23</v>
      </c>
      <c r="Z7" s="208">
        <f>Y7*0.4</f>
        <v>1203461.2920000001</v>
      </c>
      <c r="AA7" s="103">
        <f>Y7-Z7</f>
        <v>1805191.9379999998</v>
      </c>
      <c r="AB7" s="286">
        <f>AR7</f>
        <v>5.811025970801782</v>
      </c>
      <c r="AC7" s="103">
        <f>AA7*AB7</f>
        <v>10490017.233999999</v>
      </c>
      <c r="AD7" s="103">
        <f>N7+O7</f>
        <v>3642004.8600000003</v>
      </c>
      <c r="AE7" s="103">
        <f>V7</f>
        <v>224332</v>
      </c>
      <c r="AF7" s="208">
        <f>(L7-M7-U7)*0.2</f>
        <v>129512.37400000003</v>
      </c>
      <c r="AG7" s="103">
        <f>AC7-AD7+AE7-AF7</f>
        <v>6942831.9999999991</v>
      </c>
      <c r="AH7" s="103">
        <f>T7</f>
        <v>4057168</v>
      </c>
      <c r="AI7" s="103">
        <f>AVERAGE(AG7:AH7)</f>
        <v>5500000</v>
      </c>
      <c r="AJ7" s="256">
        <v>123040</v>
      </c>
      <c r="AK7" s="186">
        <f>AI7/AJ7</f>
        <v>44.700910273081924</v>
      </c>
      <c r="AL7" s="186">
        <v>44.700910273081924</v>
      </c>
      <c r="AO7" s="103">
        <v>5500000</v>
      </c>
      <c r="AP7" s="75">
        <f>(AO7-T7)*2+T7</f>
        <v>6942832</v>
      </c>
      <c r="AR7">
        <f>(AP7+AD7-AE7+AF7)/AA7</f>
        <v>5.811025970801782</v>
      </c>
    </row>
    <row r="8" spans="1:44">
      <c r="A8" s="256" t="s">
        <v>918</v>
      </c>
      <c r="B8" s="257">
        <v>378734.46</v>
      </c>
      <c r="C8" s="257">
        <v>2529126</v>
      </c>
      <c r="D8" s="257">
        <v>2519975</v>
      </c>
      <c r="E8" s="257">
        <v>2767603</v>
      </c>
      <c r="F8" s="256"/>
      <c r="G8" s="257">
        <v>2083443.14</v>
      </c>
      <c r="H8" s="256"/>
      <c r="I8" s="256"/>
      <c r="J8" s="238">
        <v>35581</v>
      </c>
      <c r="L8" s="286"/>
      <c r="M8" s="256"/>
      <c r="N8" s="256"/>
      <c r="O8" s="256"/>
      <c r="P8" s="256"/>
      <c r="Q8" s="256"/>
      <c r="R8" s="256"/>
      <c r="S8" s="256"/>
      <c r="T8" s="256"/>
      <c r="U8" s="103">
        <f>P8-M8-N8-S8+R8</f>
        <v>0</v>
      </c>
      <c r="V8" s="256"/>
      <c r="W8" s="256"/>
      <c r="X8" s="256"/>
      <c r="Y8" s="103">
        <f>W8+X8+R8</f>
        <v>0</v>
      </c>
      <c r="Z8" s="208">
        <f>Y8*0.4</f>
        <v>0</v>
      </c>
      <c r="AA8" s="103">
        <f>Y8-Z8</f>
        <v>0</v>
      </c>
      <c r="AB8" s="445">
        <f>AR8</f>
        <v>0</v>
      </c>
      <c r="AC8" s="103">
        <f>AA8*AB8</f>
        <v>0</v>
      </c>
      <c r="AD8" s="103">
        <f>N8+O8</f>
        <v>0</v>
      </c>
      <c r="AE8" s="103">
        <f>V8</f>
        <v>0</v>
      </c>
      <c r="AF8" s="208">
        <f>(L8-M8-U8)*0.2</f>
        <v>0</v>
      </c>
      <c r="AG8" s="103">
        <f>AC8-AD8+AE8-AF8</f>
        <v>0</v>
      </c>
      <c r="AH8" s="103">
        <f>T8</f>
        <v>0</v>
      </c>
      <c r="AI8" s="103">
        <f>AVERAGE(AG8:AH8)</f>
        <v>0</v>
      </c>
      <c r="AJ8" s="256">
        <v>123040</v>
      </c>
      <c r="AK8" s="186">
        <f>AI8/AJ8</f>
        <v>0</v>
      </c>
      <c r="AL8">
        <v>54.33</v>
      </c>
    </row>
    <row r="9" spans="1:44">
      <c r="A9" s="256" t="s">
        <v>347</v>
      </c>
      <c r="B9" s="257">
        <v>685081</v>
      </c>
      <c r="C9" s="257"/>
      <c r="D9" s="257">
        <v>208318.19</v>
      </c>
      <c r="E9" s="257"/>
      <c r="F9" s="256"/>
      <c r="G9" s="257">
        <f>1073019.34-556185.23</f>
        <v>516834.1100000001</v>
      </c>
      <c r="H9" s="256"/>
      <c r="I9" s="256"/>
    </row>
    <row r="10" spans="1:44">
      <c r="A10" s="256" t="s">
        <v>1481</v>
      </c>
      <c r="B10" s="257">
        <v>2582502.86</v>
      </c>
      <c r="C10" s="257"/>
      <c r="D10" s="257">
        <v>375000</v>
      </c>
      <c r="E10" s="257">
        <v>606185.23</v>
      </c>
      <c r="F10" s="256"/>
      <c r="G10" s="257">
        <v>71948.149999999994</v>
      </c>
      <c r="H10" s="256"/>
      <c r="I10" s="256"/>
    </row>
    <row r="11" spans="1:44">
      <c r="A11" s="256" t="s">
        <v>1289</v>
      </c>
      <c r="B11" s="257"/>
      <c r="C11" s="257"/>
      <c r="D11" s="257">
        <v>172918</v>
      </c>
      <c r="E11" s="257">
        <v>252176</v>
      </c>
      <c r="F11" s="256"/>
      <c r="G11" s="257">
        <v>268244.69</v>
      </c>
      <c r="H11" s="256"/>
      <c r="I11" s="256"/>
    </row>
    <row r="12" spans="1:44">
      <c r="A12" s="256" t="s">
        <v>1150</v>
      </c>
      <c r="B12" s="257">
        <v>2903280.06</v>
      </c>
      <c r="C12" s="257">
        <v>3694878</v>
      </c>
      <c r="D12" s="257">
        <f>4385034-375000</f>
        <v>4010034</v>
      </c>
      <c r="E12" s="257">
        <v>4057168</v>
      </c>
      <c r="F12" s="256"/>
      <c r="G12" s="257">
        <v>5991964.9299999997</v>
      </c>
      <c r="H12" s="256"/>
      <c r="I12" s="256"/>
    </row>
    <row r="13" spans="1:44">
      <c r="A13" t="s">
        <v>472</v>
      </c>
      <c r="B13" s="103">
        <f>B10-B8-B9</f>
        <v>1518687.4</v>
      </c>
      <c r="C13" s="103">
        <f>C8-C5-C6</f>
        <v>1235583.73</v>
      </c>
      <c r="D13" s="103">
        <f>D8-D5-D6-D11</f>
        <v>649879</v>
      </c>
      <c r="E13" s="103">
        <f>E8-E5-E6-E11+E10</f>
        <v>1898180.7999999998</v>
      </c>
      <c r="F13" s="103">
        <f>F8-F5-F6-F11+F10</f>
        <v>0</v>
      </c>
      <c r="G13" s="103">
        <f>G8-G5-G6-G11+G10</f>
        <v>856138.54000000015</v>
      </c>
      <c r="H13" s="103"/>
      <c r="I13" s="103"/>
    </row>
    <row r="14" spans="1:44">
      <c r="A14" s="256" t="s">
        <v>1133</v>
      </c>
      <c r="B14" s="257">
        <v>227278.47</v>
      </c>
      <c r="C14" s="257">
        <v>102989</v>
      </c>
      <c r="D14" s="257">
        <v>196940</v>
      </c>
      <c r="E14" s="257">
        <v>224332</v>
      </c>
      <c r="F14" s="256"/>
      <c r="G14" s="257">
        <v>669170.68000000005</v>
      </c>
      <c r="H14" s="256"/>
      <c r="I14" s="256"/>
    </row>
    <row r="15" spans="1:44">
      <c r="A15" s="256" t="s">
        <v>674</v>
      </c>
      <c r="B15" s="257">
        <v>1166706</v>
      </c>
      <c r="C15" s="257">
        <v>1628153</v>
      </c>
      <c r="D15" s="257">
        <v>1886192</v>
      </c>
      <c r="E15" s="257">
        <v>2003081</v>
      </c>
      <c r="F15" s="256"/>
      <c r="G15" s="257">
        <v>2741003</v>
      </c>
      <c r="H15" s="256"/>
      <c r="I15" s="256"/>
    </row>
    <row r="16" spans="1:44">
      <c r="A16" s="256" t="s">
        <v>365</v>
      </c>
      <c r="B16" s="257">
        <v>428000</v>
      </c>
      <c r="C16" s="257">
        <v>418410</v>
      </c>
      <c r="D16" s="257">
        <f>32927+ 35479+348350</f>
        <v>416756</v>
      </c>
      <c r="E16" s="257">
        <v>399387</v>
      </c>
      <c r="F16" s="257"/>
      <c r="G16" s="257">
        <f>249167+32211+33162</f>
        <v>314540</v>
      </c>
      <c r="H16" s="256"/>
      <c r="I16" s="256"/>
    </row>
    <row r="17" spans="1:9">
      <c r="A17" t="s">
        <v>800</v>
      </c>
      <c r="B17" s="103">
        <v>1594706</v>
      </c>
      <c r="C17" s="103">
        <f>C15+C16</f>
        <v>2046563</v>
      </c>
      <c r="D17" s="103">
        <f>D15+D16</f>
        <v>2302948</v>
      </c>
      <c r="E17" s="103">
        <f>E15+E16</f>
        <v>2402468</v>
      </c>
      <c r="F17" s="103">
        <f>F15+F16+F10</f>
        <v>0</v>
      </c>
      <c r="G17" s="103">
        <f>G15+G16+G10</f>
        <v>3127491.15</v>
      </c>
      <c r="H17" s="103"/>
      <c r="I17" s="103"/>
    </row>
    <row r="18" spans="1:9">
      <c r="A18" s="64" t="s">
        <v>716</v>
      </c>
      <c r="B18" s="208">
        <v>637882.4</v>
      </c>
      <c r="C18" s="208">
        <f>C17*0.4</f>
        <v>818625.20000000007</v>
      </c>
      <c r="D18" s="208">
        <f>D17*0.4</f>
        <v>921179.20000000007</v>
      </c>
      <c r="E18" s="208">
        <f>E17*0.4</f>
        <v>960987.20000000007</v>
      </c>
      <c r="F18" s="208">
        <f>F17*0.4</f>
        <v>0</v>
      </c>
      <c r="G18" s="208">
        <f>G17*0.4</f>
        <v>1250996.46</v>
      </c>
      <c r="H18" s="137"/>
      <c r="I18" s="137"/>
    </row>
    <row r="19" spans="1:9">
      <c r="A19" t="s">
        <v>877</v>
      </c>
      <c r="B19" s="103">
        <f t="shared" ref="B19:G19" si="0">B17-B18</f>
        <v>956823.6</v>
      </c>
      <c r="C19" s="103">
        <f t="shared" si="0"/>
        <v>1227937.7999999998</v>
      </c>
      <c r="D19" s="103">
        <f t="shared" si="0"/>
        <v>1381768.7999999998</v>
      </c>
      <c r="E19" s="103">
        <f t="shared" si="0"/>
        <v>1441480.7999999998</v>
      </c>
      <c r="F19" s="103">
        <f t="shared" si="0"/>
        <v>0</v>
      </c>
      <c r="G19" s="103">
        <f t="shared" si="0"/>
        <v>1876494.69</v>
      </c>
      <c r="H19" s="103"/>
      <c r="I19" s="103"/>
    </row>
    <row r="20" spans="1:9">
      <c r="A20" s="64" t="s">
        <v>1453</v>
      </c>
      <c r="B20" s="446">
        <f>9*(1.005)^2</f>
        <v>9.0902249999999967</v>
      </c>
      <c r="C20" s="64">
        <v>9.27</v>
      </c>
      <c r="D20" s="286">
        <v>9.2799999999999994</v>
      </c>
      <c r="E20" s="286">
        <f>E36</f>
        <v>7.2772507507557513</v>
      </c>
      <c r="F20" s="445">
        <f>F36</f>
        <v>0</v>
      </c>
      <c r="G20" s="286">
        <f>E20*1.08</f>
        <v>7.8594308108162121</v>
      </c>
      <c r="H20" s="445"/>
      <c r="I20" s="445"/>
    </row>
    <row r="21" spans="1:9">
      <c r="A21" t="s">
        <v>1454</v>
      </c>
      <c r="B21" s="103">
        <f t="shared" ref="B21:G21" si="1">B19*B20</f>
        <v>8697741.8093099967</v>
      </c>
      <c r="C21" s="103">
        <f t="shared" si="1"/>
        <v>11382983.405999998</v>
      </c>
      <c r="D21" s="103">
        <f t="shared" si="1"/>
        <v>12822814.463999998</v>
      </c>
      <c r="E21" s="103">
        <f t="shared" si="1"/>
        <v>10490017.233999999</v>
      </c>
      <c r="F21" s="103">
        <f t="shared" si="1"/>
        <v>0</v>
      </c>
      <c r="G21" s="103">
        <f t="shared" si="1"/>
        <v>14748180.182919016</v>
      </c>
      <c r="H21" s="103"/>
      <c r="I21" s="103"/>
    </row>
    <row r="22" spans="1:9">
      <c r="A22" t="s">
        <v>1455</v>
      </c>
      <c r="B22" s="103">
        <v>4091736</v>
      </c>
      <c r="C22" s="103">
        <v>4091736</v>
      </c>
      <c r="D22" s="103">
        <f>D6</f>
        <v>1171568</v>
      </c>
      <c r="E22" s="103">
        <f>E6+E7</f>
        <v>3642004.8600000003</v>
      </c>
      <c r="F22" s="103">
        <f>F6+F7</f>
        <v>0</v>
      </c>
      <c r="G22" s="103">
        <f>G6+G7</f>
        <v>3501849.1999999997</v>
      </c>
      <c r="H22" s="103"/>
      <c r="I22" s="103"/>
    </row>
    <row r="23" spans="1:9">
      <c r="A23" t="s">
        <v>682</v>
      </c>
      <c r="B23" s="103">
        <f>B14</f>
        <v>227278.47</v>
      </c>
      <c r="C23" s="103">
        <v>102989</v>
      </c>
      <c r="D23" s="103">
        <f>D14</f>
        <v>196940</v>
      </c>
      <c r="E23" s="103">
        <f>E14</f>
        <v>224332</v>
      </c>
      <c r="F23" s="103">
        <f>F14</f>
        <v>0</v>
      </c>
      <c r="G23" s="103">
        <f>G14</f>
        <v>669170.68000000005</v>
      </c>
      <c r="H23" s="103"/>
      <c r="I23" s="103"/>
    </row>
    <row r="24" spans="1:9">
      <c r="A24" s="64" t="s">
        <v>637</v>
      </c>
      <c r="B24" s="208">
        <f>(B7-B8-B13)*0.24</f>
        <v>113418.75360000003</v>
      </c>
      <c r="C24" s="208">
        <f>(C4-C5-C13)*0.24</f>
        <v>256859.16</v>
      </c>
      <c r="D24" s="208">
        <f>(D4-D5-D13)*0.2</f>
        <v>407885.80000000005</v>
      </c>
      <c r="E24" s="208">
        <f>(E4-E5-E13)*0.2</f>
        <v>129512.37400000003</v>
      </c>
      <c r="F24" s="208">
        <f>(F4-F5-F13)*0.2</f>
        <v>0</v>
      </c>
      <c r="G24" s="208">
        <f>(G4-G5-G13)*0.2</f>
        <v>518511.49200000003</v>
      </c>
      <c r="H24" s="137"/>
      <c r="I24" s="137"/>
    </row>
    <row r="25" spans="1:9">
      <c r="A25" t="s">
        <v>366</v>
      </c>
      <c r="B25" s="103">
        <f t="shared" ref="B25:G25" si="2">B21-B22+B23-B24</f>
        <v>4719865.525709996</v>
      </c>
      <c r="C25" s="103">
        <f t="shared" si="2"/>
        <v>7137377.2459999975</v>
      </c>
      <c r="D25" s="103">
        <f t="shared" si="2"/>
        <v>11440300.663999997</v>
      </c>
      <c r="E25" s="103">
        <f t="shared" si="2"/>
        <v>6942831.9999999991</v>
      </c>
      <c r="F25" s="103">
        <f t="shared" si="2"/>
        <v>0</v>
      </c>
      <c r="G25" s="103">
        <f t="shared" si="2"/>
        <v>11396990.170919016</v>
      </c>
      <c r="H25" s="103"/>
      <c r="I25" s="103"/>
    </row>
    <row r="26" spans="1:9">
      <c r="A26" t="s">
        <v>367</v>
      </c>
      <c r="B26" s="103">
        <f>B12</f>
        <v>2903280.06</v>
      </c>
      <c r="C26" s="103">
        <v>3694878</v>
      </c>
      <c r="D26" s="103">
        <f>D12</f>
        <v>4010034</v>
      </c>
      <c r="E26" s="103">
        <f>E12</f>
        <v>4057168</v>
      </c>
      <c r="F26" s="103">
        <f>F12</f>
        <v>0</v>
      </c>
      <c r="G26" s="103">
        <f>G12</f>
        <v>5991964.9299999997</v>
      </c>
      <c r="H26" s="103"/>
      <c r="I26" s="103"/>
    </row>
    <row r="27" spans="1:9">
      <c r="A27" t="s">
        <v>368</v>
      </c>
      <c r="B27" s="103">
        <f t="shared" ref="B27:G27" si="3">AVERAGE(B25:B26)</f>
        <v>3811572.7928549983</v>
      </c>
      <c r="C27" s="103">
        <f t="shared" si="3"/>
        <v>5416127.6229999987</v>
      </c>
      <c r="D27" s="103">
        <f t="shared" si="3"/>
        <v>7725167.3319999985</v>
      </c>
      <c r="E27" s="103">
        <f t="shared" si="3"/>
        <v>5500000</v>
      </c>
      <c r="F27" s="103">
        <f t="shared" si="3"/>
        <v>0</v>
      </c>
      <c r="G27" s="103">
        <f t="shared" si="3"/>
        <v>8694477.5504595079</v>
      </c>
      <c r="H27" s="103"/>
      <c r="I27" s="103"/>
    </row>
    <row r="28" spans="1:9">
      <c r="A28" t="s">
        <v>1031</v>
      </c>
      <c r="B28" s="260">
        <v>122940</v>
      </c>
      <c r="C28">
        <v>122940</v>
      </c>
      <c r="D28" s="256">
        <v>122940</v>
      </c>
      <c r="E28" s="256">
        <v>123040</v>
      </c>
      <c r="F28" s="256">
        <v>123040</v>
      </c>
      <c r="G28" s="256">
        <v>123134</v>
      </c>
      <c r="H28" s="256">
        <v>12317</v>
      </c>
      <c r="I28" s="256"/>
    </row>
    <row r="29" spans="1:9" ht="14" thickBot="1">
      <c r="A29" t="s">
        <v>179</v>
      </c>
      <c r="B29" s="266">
        <f t="shared" ref="B29:G29" si="4">B27/B28</f>
        <v>31.003520358345519</v>
      </c>
      <c r="C29" s="186">
        <f t="shared" si="4"/>
        <v>44.055048177972985</v>
      </c>
      <c r="D29" s="186">
        <f t="shared" si="4"/>
        <v>62.83689061330729</v>
      </c>
      <c r="E29" s="186">
        <f t="shared" si="4"/>
        <v>44.700910273081924</v>
      </c>
      <c r="F29" s="186">
        <f t="shared" si="4"/>
        <v>0</v>
      </c>
      <c r="G29" s="186">
        <f t="shared" si="4"/>
        <v>70.609884763424461</v>
      </c>
      <c r="H29" s="186"/>
      <c r="I29" s="186"/>
    </row>
    <row r="30" spans="1:9" ht="14" thickBot="1">
      <c r="A30" t="s">
        <v>180</v>
      </c>
      <c r="B30" s="266">
        <v>31.003520358345519</v>
      </c>
      <c r="C30" s="186">
        <v>44.055048177972985</v>
      </c>
      <c r="D30">
        <v>54.35</v>
      </c>
      <c r="E30" s="186">
        <v>44.700910273081924</v>
      </c>
      <c r="F30">
        <v>55.81</v>
      </c>
      <c r="G30" s="614">
        <v>67.92</v>
      </c>
      <c r="H30" s="615">
        <v>64.95</v>
      </c>
      <c r="I30" s="615">
        <v>57.34</v>
      </c>
    </row>
    <row r="31" spans="1:9">
      <c r="C31" s="186"/>
      <c r="D31" s="186"/>
    </row>
    <row r="33" spans="1:7">
      <c r="A33" t="s">
        <v>132</v>
      </c>
      <c r="E33" s="103">
        <v>5500000</v>
      </c>
      <c r="G33" s="103"/>
    </row>
    <row r="34" spans="1:7">
      <c r="A34" t="s">
        <v>920</v>
      </c>
      <c r="E34" s="75">
        <f>(E33-E12)*2+E12</f>
        <v>6942832</v>
      </c>
      <c r="G34" s="75"/>
    </row>
    <row r="36" spans="1:7">
      <c r="A36" t="s">
        <v>1032</v>
      </c>
      <c r="B36">
        <f>(B34+B22-B23+B24)/B19</f>
        <v>4.1573768494004533</v>
      </c>
      <c r="E36">
        <f>(E34+E22-E23+E24)/E19</f>
        <v>7.2772507507557513</v>
      </c>
    </row>
    <row r="41" spans="1:7">
      <c r="A41" s="585" t="s">
        <v>794</v>
      </c>
      <c r="B41" s="585"/>
      <c r="C41" s="585"/>
      <c r="D41" s="585"/>
      <c r="E41" s="585"/>
      <c r="F41" s="585"/>
      <c r="G41" s="585"/>
    </row>
    <row r="42" spans="1:7">
      <c r="A42" s="585"/>
      <c r="B42" s="585"/>
      <c r="C42" s="585"/>
      <c r="D42" s="585"/>
      <c r="E42" s="585"/>
      <c r="F42" s="585"/>
      <c r="G42" s="585"/>
    </row>
    <row r="43" spans="1:7">
      <c r="A43" s="587" t="s">
        <v>1552</v>
      </c>
      <c r="B43" s="588">
        <v>200000</v>
      </c>
      <c r="D43" s="585"/>
      <c r="E43" s="585"/>
      <c r="F43" s="585"/>
      <c r="G43" s="585"/>
    </row>
    <row r="44" spans="1:7">
      <c r="A44" s="587" t="s">
        <v>1283</v>
      </c>
      <c r="B44" s="588">
        <v>20000</v>
      </c>
      <c r="C44" s="585"/>
      <c r="D44" s="585"/>
      <c r="E44" s="585"/>
      <c r="F44" s="585"/>
      <c r="G44" s="585"/>
    </row>
    <row r="45" spans="1:7">
      <c r="A45" s="587" t="s">
        <v>642</v>
      </c>
      <c r="B45" s="588">
        <v>0</v>
      </c>
      <c r="C45" s="585"/>
      <c r="D45" s="585"/>
      <c r="E45" s="585"/>
      <c r="F45" s="585"/>
    </row>
    <row r="46" spans="1:7">
      <c r="A46" s="587" t="s">
        <v>839</v>
      </c>
      <c r="B46" s="588">
        <v>0</v>
      </c>
      <c r="C46" s="585"/>
      <c r="D46" s="585"/>
      <c r="E46" s="585"/>
      <c r="F46" s="585"/>
    </row>
    <row r="47" spans="1:7">
      <c r="A47" s="587" t="s">
        <v>918</v>
      </c>
      <c r="B47" s="588">
        <v>300000</v>
      </c>
      <c r="C47" s="585"/>
      <c r="D47" s="585"/>
      <c r="E47" s="585"/>
      <c r="F47" s="585"/>
    </row>
    <row r="48" spans="1:7">
      <c r="A48" s="587" t="s">
        <v>347</v>
      </c>
      <c r="B48" s="588">
        <v>0</v>
      </c>
      <c r="C48" s="585"/>
      <c r="D48" s="585"/>
      <c r="E48" s="585"/>
      <c r="F48" s="585"/>
    </row>
    <row r="49" spans="1:6">
      <c r="A49" s="587" t="s">
        <v>1481</v>
      </c>
      <c r="B49" s="588">
        <v>0</v>
      </c>
      <c r="C49" s="585"/>
      <c r="D49" s="585"/>
      <c r="E49" s="585"/>
      <c r="F49" s="585"/>
    </row>
    <row r="50" spans="1:6">
      <c r="A50" s="587" t="s">
        <v>1289</v>
      </c>
      <c r="B50" s="588">
        <v>0</v>
      </c>
      <c r="C50" s="585"/>
      <c r="D50" s="585"/>
      <c r="E50" s="585"/>
      <c r="F50" s="585"/>
    </row>
    <row r="51" spans="1:6">
      <c r="A51" s="587" t="s">
        <v>1150</v>
      </c>
      <c r="B51" s="588">
        <v>400000</v>
      </c>
      <c r="C51" s="585"/>
      <c r="D51" s="585"/>
      <c r="E51" s="585"/>
      <c r="F51" s="585"/>
    </row>
    <row r="52" spans="1:6">
      <c r="A52" s="585" t="s">
        <v>472</v>
      </c>
      <c r="B52" s="589">
        <f>B47-C44-B45-B50+B49</f>
        <v>300000</v>
      </c>
      <c r="C52" s="585"/>
      <c r="D52" s="585"/>
      <c r="E52" s="585"/>
      <c r="F52" s="585"/>
    </row>
    <row r="53" spans="1:6">
      <c r="A53" s="587" t="s">
        <v>1133</v>
      </c>
      <c r="B53" s="588">
        <v>50000</v>
      </c>
      <c r="C53" s="585"/>
      <c r="D53" s="585"/>
      <c r="E53" s="585"/>
      <c r="F53" s="585"/>
    </row>
    <row r="54" spans="1:6">
      <c r="A54" s="587" t="s">
        <v>674</v>
      </c>
      <c r="B54" s="588">
        <v>50000</v>
      </c>
      <c r="C54" s="585"/>
      <c r="D54" s="585"/>
      <c r="E54" s="585"/>
      <c r="F54" s="585"/>
    </row>
    <row r="55" spans="1:6">
      <c r="A55" s="587" t="s">
        <v>365</v>
      </c>
      <c r="B55" s="588">
        <v>0</v>
      </c>
      <c r="C55" s="585"/>
      <c r="D55" s="585"/>
      <c r="E55" s="585"/>
      <c r="F55" s="585"/>
    </row>
    <row r="56" spans="1:6">
      <c r="A56" s="585" t="s">
        <v>800</v>
      </c>
      <c r="B56" s="103">
        <f>B54+B55+B49</f>
        <v>50000</v>
      </c>
      <c r="C56" s="200">
        <f>B56/1200000</f>
        <v>4.1666666666666664E-2</v>
      </c>
    </row>
    <row r="57" spans="1:6">
      <c r="A57" s="586" t="s">
        <v>539</v>
      </c>
      <c r="B57" s="208">
        <f>B56*0.15</f>
        <v>7500</v>
      </c>
    </row>
    <row r="58" spans="1:6">
      <c r="A58" s="585" t="s">
        <v>877</v>
      </c>
      <c r="B58" s="103">
        <f>B56-B57</f>
        <v>42500</v>
      </c>
    </row>
    <row r="59" spans="1:6">
      <c r="A59" s="586" t="s">
        <v>1453</v>
      </c>
      <c r="B59" s="590">
        <v>5</v>
      </c>
    </row>
    <row r="60" spans="1:6">
      <c r="A60" s="585" t="s">
        <v>1454</v>
      </c>
      <c r="B60" s="103">
        <f>B58*B59</f>
        <v>212500</v>
      </c>
    </row>
    <row r="61" spans="1:6">
      <c r="A61" s="585" t="s">
        <v>1455</v>
      </c>
      <c r="B61" s="589">
        <v>0</v>
      </c>
    </row>
    <row r="62" spans="1:6">
      <c r="A62" s="585" t="s">
        <v>682</v>
      </c>
      <c r="B62" s="589">
        <f>B53</f>
        <v>50000</v>
      </c>
    </row>
    <row r="63" spans="1:6">
      <c r="A63" s="586" t="s">
        <v>637</v>
      </c>
      <c r="B63" s="208">
        <f>(C43-C44-B52)*0.2</f>
        <v>-60000</v>
      </c>
    </row>
    <row r="64" spans="1:6">
      <c r="A64" s="585" t="s">
        <v>366</v>
      </c>
      <c r="B64" s="103">
        <f>B60-B61+B62-B63</f>
        <v>322500</v>
      </c>
    </row>
    <row r="65" spans="1:3">
      <c r="A65" s="585" t="s">
        <v>367</v>
      </c>
      <c r="B65" s="103">
        <f>B51</f>
        <v>400000</v>
      </c>
    </row>
    <row r="66" spans="1:3">
      <c r="A66" s="585" t="s">
        <v>368</v>
      </c>
      <c r="B66" s="103">
        <f>AVERAGE(B64:B65)</f>
        <v>361250</v>
      </c>
    </row>
    <row r="67" spans="1:3">
      <c r="A67" s="585" t="s">
        <v>1031</v>
      </c>
      <c r="B67" s="587">
        <v>100</v>
      </c>
    </row>
    <row r="68" spans="1:3" ht="14" thickBot="1">
      <c r="A68" s="585" t="s">
        <v>179</v>
      </c>
      <c r="B68" s="591">
        <f>B66/B67</f>
        <v>3612.5</v>
      </c>
    </row>
    <row r="69" spans="1:3" ht="14" thickBot="1">
      <c r="A69" s="585" t="s">
        <v>180</v>
      </c>
      <c r="B69" s="592"/>
    </row>
    <row r="71" spans="1:3">
      <c r="A71" s="593" t="s">
        <v>538</v>
      </c>
      <c r="B71" s="103">
        <f>C71*B66</f>
        <v>18062.5</v>
      </c>
      <c r="C71">
        <v>0.05</v>
      </c>
    </row>
    <row r="72" spans="1:3">
      <c r="A72" s="593" t="s">
        <v>718</v>
      </c>
      <c r="B72">
        <f>B71/G27*G28</f>
        <v>255.80696046336385</v>
      </c>
    </row>
    <row r="73" spans="1:3">
      <c r="A73" s="593" t="s">
        <v>719</v>
      </c>
      <c r="B73">
        <f>0.7*B72</f>
        <v>179.0648723243547</v>
      </c>
      <c r="C73" s="103">
        <f>B73*$G$30</f>
        <v>12162.086128270172</v>
      </c>
    </row>
    <row r="74" spans="1:3">
      <c r="A74" s="593" t="s">
        <v>720</v>
      </c>
      <c r="B74">
        <f>B72*0.15</f>
        <v>38.371044069504578</v>
      </c>
      <c r="C74" s="103">
        <f>B74*$G$30</f>
        <v>2606.161313200751</v>
      </c>
    </row>
    <row r="75" spans="1:3">
      <c r="A75" s="593" t="s">
        <v>721</v>
      </c>
      <c r="B75">
        <f>B72*0.15</f>
        <v>38.371044069504578</v>
      </c>
      <c r="C75" s="103">
        <f>B75*$G$30</f>
        <v>2606.161313200751</v>
      </c>
    </row>
  </sheetData>
  <pageMargins left="0.75" right="0.75" top="1" bottom="1" header="0.5" footer="0.5"/>
  <pageSetup paperSize="0" scale="20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BP136"/>
  <sheetViews>
    <sheetView topLeftCell="G9" workbookViewId="0">
      <selection activeCell="B21" sqref="B21"/>
    </sheetView>
  </sheetViews>
  <sheetFormatPr baseColWidth="10" defaultRowHeight="13" x14ac:dyDescent="0"/>
  <cols>
    <col min="1" max="1" width="20.85546875" customWidth="1"/>
    <col min="2" max="4" width="13.5703125" customWidth="1"/>
    <col min="5" max="5" width="13.5703125" bestFit="1" customWidth="1"/>
    <col min="6" max="6" width="15.85546875" customWidth="1"/>
    <col min="7" max="7" width="16.7109375" customWidth="1"/>
    <col min="8" max="9" width="16.5703125" customWidth="1"/>
    <col min="10" max="10" width="16.7109375" customWidth="1"/>
    <col min="11" max="13" width="16.28515625" customWidth="1"/>
  </cols>
  <sheetData>
    <row r="1" spans="1:13">
      <c r="K1" s="117">
        <f>0.1/9</f>
        <v>1.1111111111111112E-2</v>
      </c>
    </row>
    <row r="2" spans="1:13">
      <c r="K2">
        <f>0.3/1.24</f>
        <v>0.24193548387096772</v>
      </c>
    </row>
    <row r="3" spans="1:13" ht="26">
      <c r="A3" s="201"/>
      <c r="B3" s="132" t="s">
        <v>785</v>
      </c>
      <c r="C3" s="132" t="s">
        <v>785</v>
      </c>
      <c r="D3" s="132" t="s">
        <v>785</v>
      </c>
      <c r="E3" s="132" t="s">
        <v>785</v>
      </c>
      <c r="F3" s="132" t="s">
        <v>785</v>
      </c>
      <c r="G3" s="132" t="s">
        <v>807</v>
      </c>
      <c r="H3" s="132" t="s">
        <v>1499</v>
      </c>
      <c r="I3" s="132" t="s">
        <v>1281</v>
      </c>
      <c r="J3" s="132" t="s">
        <v>1249</v>
      </c>
      <c r="K3" s="132" t="s">
        <v>785</v>
      </c>
      <c r="L3" s="132" t="s">
        <v>588</v>
      </c>
      <c r="M3" s="132" t="s">
        <v>1169</v>
      </c>
    </row>
    <row r="4" spans="1:13">
      <c r="B4" s="238">
        <v>38138</v>
      </c>
      <c r="C4" s="238">
        <v>35461</v>
      </c>
      <c r="D4" s="238">
        <v>35338</v>
      </c>
      <c r="E4" s="238">
        <v>35216</v>
      </c>
      <c r="F4" s="238">
        <v>35095</v>
      </c>
      <c r="G4" s="238">
        <v>34972</v>
      </c>
      <c r="H4" s="238">
        <v>34942</v>
      </c>
      <c r="K4" s="238">
        <v>35185</v>
      </c>
      <c r="L4" s="238">
        <v>35155</v>
      </c>
      <c r="M4" s="238">
        <v>35033</v>
      </c>
    </row>
    <row r="5" spans="1:13" s="256" customFormat="1">
      <c r="A5" s="256" t="s">
        <v>331</v>
      </c>
      <c r="D5" s="257">
        <f>'Month S&amp;P'!W156</f>
        <v>13542339</v>
      </c>
      <c r="E5" s="257">
        <f>'Month S&amp;P'!GZ51</f>
        <v>12681465</v>
      </c>
      <c r="F5" s="257">
        <v>12069720</v>
      </c>
      <c r="G5" s="257">
        <v>11727663</v>
      </c>
      <c r="H5" s="257">
        <v>11913147</v>
      </c>
      <c r="I5" s="257">
        <v>11625440</v>
      </c>
      <c r="J5" s="257">
        <v>12182543.640000001</v>
      </c>
      <c r="K5" s="257">
        <f>'Month S&amp;P'!B378</f>
        <v>13380730</v>
      </c>
      <c r="L5" s="257">
        <f>'Month S&amp;P'!B377</f>
        <v>11962178</v>
      </c>
      <c r="M5" s="257">
        <v>11939454</v>
      </c>
    </row>
    <row r="6" spans="1:13" s="256" customFormat="1">
      <c r="A6" s="256" t="s">
        <v>1552</v>
      </c>
      <c r="D6" s="256">
        <v>3214918</v>
      </c>
      <c r="E6" s="257">
        <f>2499047+237164-62000+263197+1581.5</f>
        <v>2938989.5</v>
      </c>
      <c r="F6" s="258">
        <v>2370000</v>
      </c>
      <c r="G6" s="258">
        <v>2090172.46</v>
      </c>
      <c r="H6" s="258">
        <v>2600000</v>
      </c>
      <c r="I6" s="257"/>
      <c r="J6" s="257"/>
      <c r="K6" s="258">
        <f>2136849+557020-60000+249932+1407</f>
        <v>2885208</v>
      </c>
      <c r="L6" s="258">
        <f>1958141+322730.6-58000+253020</f>
        <v>2475891.6</v>
      </c>
      <c r="M6" s="258">
        <v>2625180</v>
      </c>
    </row>
    <row r="7" spans="1:13" s="256" customFormat="1">
      <c r="A7" s="256" t="s">
        <v>1283</v>
      </c>
      <c r="D7" s="256">
        <v>525610</v>
      </c>
      <c r="E7" s="257">
        <f>569192+63967.27</f>
        <v>633159.27</v>
      </c>
      <c r="F7" s="257">
        <v>378734.46</v>
      </c>
      <c r="G7" s="257">
        <v>365384.48</v>
      </c>
      <c r="H7" s="257"/>
      <c r="I7" s="257"/>
      <c r="J7" s="257"/>
      <c r="K7" s="257"/>
      <c r="L7" s="257"/>
      <c r="M7" s="257"/>
    </row>
    <row r="8" spans="1:13" s="256" customFormat="1">
      <c r="A8" s="256" t="s">
        <v>642</v>
      </c>
      <c r="D8" s="256">
        <v>1171568</v>
      </c>
      <c r="E8" s="259">
        <f>660383+400000+4885</f>
        <v>1065268</v>
      </c>
      <c r="F8" s="257">
        <v>685081</v>
      </c>
      <c r="G8" s="257">
        <v>695000</v>
      </c>
      <c r="H8" s="257">
        <v>700000</v>
      </c>
      <c r="I8" s="257">
        <v>909460</v>
      </c>
      <c r="J8" s="257"/>
      <c r="K8" s="257">
        <f>L8+K61-60734</f>
        <v>674042</v>
      </c>
      <c r="L8" s="257">
        <f>-4569+F8</f>
        <v>680512</v>
      </c>
      <c r="M8" s="257">
        <v>695081</v>
      </c>
    </row>
    <row r="9" spans="1:13" s="256" customFormat="1">
      <c r="A9" s="256" t="s">
        <v>918</v>
      </c>
      <c r="D9" s="256">
        <v>2519975</v>
      </c>
      <c r="E9" s="257">
        <v>2529126</v>
      </c>
      <c r="F9" s="257">
        <v>2582502.86</v>
      </c>
      <c r="G9" s="257">
        <v>2737631.82</v>
      </c>
      <c r="H9" s="257"/>
      <c r="I9" s="257"/>
      <c r="J9" s="257"/>
      <c r="K9" s="257"/>
      <c r="L9" s="257"/>
      <c r="M9" s="257"/>
    </row>
    <row r="10" spans="1:13" s="256" customFormat="1">
      <c r="A10" s="256" t="s">
        <v>1289</v>
      </c>
      <c r="D10" s="256">
        <v>172918</v>
      </c>
      <c r="E10" s="257">
        <v>128789.9</v>
      </c>
      <c r="F10" s="257"/>
      <c r="G10" s="257"/>
      <c r="H10" s="257"/>
      <c r="I10" s="257"/>
      <c r="J10" s="257"/>
      <c r="K10" s="257"/>
      <c r="L10" s="257"/>
      <c r="M10" s="257"/>
    </row>
    <row r="11" spans="1:13" s="256" customFormat="1">
      <c r="A11" s="256" t="s">
        <v>684</v>
      </c>
      <c r="D11" s="256">
        <v>4010034</v>
      </c>
      <c r="E11" s="257">
        <v>3694878</v>
      </c>
      <c r="F11" s="257">
        <v>2903280.06</v>
      </c>
      <c r="G11" s="257">
        <v>2602957.46</v>
      </c>
      <c r="H11" s="257"/>
      <c r="I11" s="257"/>
      <c r="J11" s="257"/>
      <c r="K11" s="257"/>
      <c r="L11" s="257"/>
      <c r="M11" s="257"/>
    </row>
    <row r="12" spans="1:13">
      <c r="A12" t="s">
        <v>472</v>
      </c>
      <c r="B12">
        <f>B9-B7-B8-B10</f>
        <v>0</v>
      </c>
      <c r="C12">
        <f>C9-C7-C8-C10</f>
        <v>0</v>
      </c>
      <c r="D12">
        <v>649879</v>
      </c>
      <c r="E12" s="103">
        <f>E9-E7-E8-E10</f>
        <v>701908.83</v>
      </c>
      <c r="F12" s="103">
        <f>F9-F7-F8</f>
        <v>1518687.4</v>
      </c>
      <c r="G12" s="103">
        <f>G9-G7-G8</f>
        <v>1677247.3399999999</v>
      </c>
      <c r="H12" s="103"/>
      <c r="I12" s="103"/>
      <c r="J12" s="103"/>
      <c r="K12" s="103"/>
      <c r="L12" s="103"/>
      <c r="M12" s="103"/>
    </row>
    <row r="13" spans="1:13" s="256" customFormat="1">
      <c r="A13" s="256" t="s">
        <v>1133</v>
      </c>
      <c r="D13" s="256">
        <v>196940</v>
      </c>
      <c r="E13" s="257">
        <v>102989</v>
      </c>
      <c r="F13" s="257">
        <v>227278.47</v>
      </c>
      <c r="G13" s="257">
        <v>126947.35</v>
      </c>
      <c r="H13" s="257"/>
      <c r="I13" s="257"/>
      <c r="J13" s="257"/>
      <c r="K13" s="257"/>
      <c r="L13" s="257"/>
      <c r="M13" s="257"/>
    </row>
    <row r="14" spans="1:13" s="256" customFormat="1">
      <c r="A14" s="256" t="s">
        <v>219</v>
      </c>
      <c r="D14" s="256">
        <v>1886192</v>
      </c>
      <c r="E14" s="257">
        <f>'Month S&amp;P'!GT51</f>
        <v>1628156</v>
      </c>
      <c r="F14" s="257">
        <v>1166706</v>
      </c>
      <c r="G14" s="257">
        <v>1175647</v>
      </c>
      <c r="H14" s="257">
        <v>1349630</v>
      </c>
      <c r="I14" s="257">
        <v>-844960</v>
      </c>
      <c r="J14" s="257">
        <v>-832874.147</v>
      </c>
      <c r="K14" s="257">
        <f>'Month S&amp;P'!H151</f>
        <v>1421583</v>
      </c>
      <c r="L14" s="257">
        <f>'Month S&amp;P'!H150</f>
        <v>1112920</v>
      </c>
      <c r="M14" s="257">
        <v>1121901</v>
      </c>
    </row>
    <row r="15" spans="1:13" s="256" customFormat="1">
      <c r="A15" s="256" t="s">
        <v>589</v>
      </c>
      <c r="D15" s="256">
        <v>416756</v>
      </c>
      <c r="E15" s="259">
        <f>209094+35608 +35440 +34780 +35082 +32927 +35479</f>
        <v>418410</v>
      </c>
      <c r="F15" s="257">
        <v>428000</v>
      </c>
      <c r="G15" s="257">
        <v>440000</v>
      </c>
      <c r="H15" s="257">
        <f>327000+117000</f>
        <v>444000</v>
      </c>
      <c r="I15" s="257">
        <v>580470</v>
      </c>
      <c r="J15" s="257"/>
      <c r="K15" s="257">
        <f>L15+K60-37735</f>
        <v>423804</v>
      </c>
      <c r="L15" s="257">
        <f>F15+33650-35701</f>
        <v>425949</v>
      </c>
      <c r="M15" s="257">
        <v>430310</v>
      </c>
    </row>
    <row r="16" spans="1:13">
      <c r="A16" t="s">
        <v>800</v>
      </c>
      <c r="B16" s="103">
        <f>B14+B15</f>
        <v>0</v>
      </c>
      <c r="C16" s="103">
        <f>C14+C15</f>
        <v>0</v>
      </c>
      <c r="D16" s="103">
        <v>2302948</v>
      </c>
      <c r="E16" s="103">
        <f>E14+E15</f>
        <v>2046566</v>
      </c>
      <c r="F16" s="103">
        <v>1594706</v>
      </c>
      <c r="G16" s="103">
        <v>1615647</v>
      </c>
      <c r="H16" s="103">
        <f>H14+H15</f>
        <v>1793630</v>
      </c>
      <c r="I16" s="103">
        <f>I14+I15</f>
        <v>-264490</v>
      </c>
      <c r="J16" s="103"/>
      <c r="K16" s="103">
        <f>K14+K15</f>
        <v>1845387</v>
      </c>
      <c r="L16" s="103">
        <f>L14+L15</f>
        <v>1538869</v>
      </c>
      <c r="M16" s="103">
        <f>M14+M15</f>
        <v>1552211</v>
      </c>
    </row>
    <row r="17" spans="1:68">
      <c r="A17" s="64" t="s">
        <v>716</v>
      </c>
      <c r="B17" s="208">
        <f>B16*0.4</f>
        <v>0</v>
      </c>
      <c r="C17" s="208">
        <f>C16*0.4</f>
        <v>0</v>
      </c>
      <c r="D17" s="208">
        <v>921179.2</v>
      </c>
      <c r="E17" s="208">
        <f>E16*0.4</f>
        <v>818626.4</v>
      </c>
      <c r="F17" s="208">
        <v>637882.4</v>
      </c>
      <c r="G17" s="208">
        <v>646258.80000000005</v>
      </c>
      <c r="H17" s="208">
        <f>(H16*0.4)</f>
        <v>717452</v>
      </c>
      <c r="I17" s="208">
        <f>I14*0.42</f>
        <v>-354883.2</v>
      </c>
      <c r="J17" s="208"/>
      <c r="K17" s="208">
        <f>K16*0.4</f>
        <v>738154.8</v>
      </c>
      <c r="L17" s="208">
        <f>L16*0.4</f>
        <v>615547.6</v>
      </c>
      <c r="M17" s="208">
        <f>(M16*0.4)</f>
        <v>620884.4</v>
      </c>
    </row>
    <row r="18" spans="1:68">
      <c r="A18" t="s">
        <v>877</v>
      </c>
      <c r="B18" s="103">
        <f t="shared" ref="B18:M18" si="0">B16-B17</f>
        <v>0</v>
      </c>
      <c r="C18" s="103">
        <f t="shared" si="0"/>
        <v>0</v>
      </c>
      <c r="D18" s="103">
        <v>1381768.8</v>
      </c>
      <c r="E18" s="103">
        <f t="shared" si="0"/>
        <v>1227939.6000000001</v>
      </c>
      <c r="F18" s="103">
        <f t="shared" si="0"/>
        <v>956823.6</v>
      </c>
      <c r="G18" s="103">
        <f t="shared" si="0"/>
        <v>969388.2</v>
      </c>
      <c r="H18" s="103">
        <f t="shared" si="0"/>
        <v>1076178</v>
      </c>
      <c r="I18" s="103">
        <f t="shared" si="0"/>
        <v>90393.200000000012</v>
      </c>
      <c r="J18" s="103">
        <f t="shared" si="0"/>
        <v>0</v>
      </c>
      <c r="K18" s="103">
        <f t="shared" si="0"/>
        <v>1107232.2</v>
      </c>
      <c r="L18" s="103">
        <f t="shared" si="0"/>
        <v>923321.4</v>
      </c>
      <c r="M18" s="103">
        <f t="shared" si="0"/>
        <v>931326.6</v>
      </c>
    </row>
    <row r="19" spans="1:68" s="260" customFormat="1" ht="15" customHeight="1">
      <c r="A19" s="260" t="s">
        <v>1360</v>
      </c>
      <c r="B19" s="261"/>
      <c r="C19" s="261"/>
      <c r="D19" s="261">
        <v>9.27</v>
      </c>
      <c r="E19" s="261">
        <v>9.27</v>
      </c>
      <c r="F19" s="262">
        <f>9*(1.005)^2</f>
        <v>9.0902249999999967</v>
      </c>
      <c r="G19" s="262">
        <v>8.91</v>
      </c>
      <c r="H19" s="262">
        <f>G19-0.05</f>
        <v>8.86</v>
      </c>
      <c r="I19" s="263" t="s">
        <v>635</v>
      </c>
      <c r="J19" s="263"/>
      <c r="K19" s="262">
        <f>9*(1.005)^5</f>
        <v>9.2272612781531169</v>
      </c>
      <c r="L19" s="262">
        <f>9*(1.005)^2</f>
        <v>9.0902249999999967</v>
      </c>
      <c r="M19" s="262">
        <f>F19-0.1</f>
        <v>8.990224999999997</v>
      </c>
    </row>
    <row r="20" spans="1:68">
      <c r="A20" t="s">
        <v>1454</v>
      </c>
      <c r="B20" s="103">
        <f>B18*B19</f>
        <v>0</v>
      </c>
      <c r="C20" s="103">
        <f>C18*C19</f>
        <v>0</v>
      </c>
      <c r="D20" s="103">
        <v>12808996.775999997</v>
      </c>
      <c r="E20" s="103">
        <f>E18*E19</f>
        <v>11383000.092</v>
      </c>
      <c r="F20" s="103">
        <f>F18*F19</f>
        <v>8697741.8093099967</v>
      </c>
      <c r="G20" s="103">
        <f>G18*G19</f>
        <v>8637248.8619999997</v>
      </c>
      <c r="H20" s="103"/>
      <c r="I20" s="103"/>
      <c r="J20" s="103"/>
      <c r="K20" s="103">
        <f>K18*K19</f>
        <v>10216720.804984286</v>
      </c>
      <c r="L20" s="103">
        <f>L18*L19</f>
        <v>8393199.2733149976</v>
      </c>
      <c r="M20" s="103">
        <f>M18*M19</f>
        <v>8372835.6824849974</v>
      </c>
    </row>
    <row r="21" spans="1:68">
      <c r="A21" t="s">
        <v>1149</v>
      </c>
      <c r="B21" s="103">
        <v>4091736</v>
      </c>
      <c r="C21" s="103">
        <v>4091736</v>
      </c>
      <c r="D21" s="103">
        <v>4091736</v>
      </c>
      <c r="E21" s="103">
        <v>4091736</v>
      </c>
      <c r="F21" s="103">
        <v>4091736</v>
      </c>
      <c r="G21" s="103">
        <v>4817871.82</v>
      </c>
      <c r="H21" s="103"/>
      <c r="I21" s="103"/>
      <c r="J21" s="103"/>
      <c r="K21" s="103"/>
      <c r="L21" s="103"/>
      <c r="M21" s="103"/>
    </row>
    <row r="22" spans="1:68">
      <c r="A22" t="s">
        <v>682</v>
      </c>
      <c r="B22" s="103">
        <f>B13</f>
        <v>0</v>
      </c>
      <c r="C22" s="103">
        <f>C13</f>
        <v>0</v>
      </c>
      <c r="D22" s="103">
        <v>196940</v>
      </c>
      <c r="E22" s="103">
        <f>E13</f>
        <v>102989</v>
      </c>
      <c r="F22" s="103">
        <f>F13</f>
        <v>227278.47</v>
      </c>
      <c r="G22" s="103">
        <f>G13</f>
        <v>126947.35</v>
      </c>
      <c r="H22" s="103"/>
      <c r="I22" s="103"/>
      <c r="K22" s="103"/>
      <c r="L22" s="103"/>
      <c r="M22" s="103"/>
    </row>
    <row r="23" spans="1:68">
      <c r="A23" s="64" t="s">
        <v>637</v>
      </c>
      <c r="B23" s="208">
        <f>(B6-B7-B12)*0.2</f>
        <v>0</v>
      </c>
      <c r="C23" s="208">
        <f>(C6-C7-C12)*0.2</f>
        <v>0</v>
      </c>
      <c r="D23" s="208">
        <v>407885.8</v>
      </c>
      <c r="E23" s="208">
        <f>(E6-E7-E12)*0.2</f>
        <v>320784.28000000003</v>
      </c>
      <c r="F23" s="208">
        <f>(F6-F7-F12)*0.24</f>
        <v>113418.75360000003</v>
      </c>
      <c r="G23" s="208">
        <f>(G6-G7-G12)*0.24</f>
        <v>11409.753600000031</v>
      </c>
    </row>
    <row r="24" spans="1:68">
      <c r="A24" t="s">
        <v>683</v>
      </c>
      <c r="B24" s="103">
        <f>B20-B21+B22-B23</f>
        <v>-4091736</v>
      </c>
      <c r="C24" s="103">
        <f>C20-C21+C22-C23</f>
        <v>-4091736</v>
      </c>
      <c r="D24" s="103">
        <v>8506314.9759999961</v>
      </c>
      <c r="E24" s="103">
        <f>E20-E21+E22-E23</f>
        <v>7073468.8119999999</v>
      </c>
      <c r="F24" s="103">
        <f>F20-F21+F22-F23</f>
        <v>4719865.525709996</v>
      </c>
      <c r="G24" s="103">
        <f>G20-G21+G22-G23</f>
        <v>3934914.6383999996</v>
      </c>
    </row>
    <row r="25" spans="1:68">
      <c r="A25" t="s">
        <v>684</v>
      </c>
      <c r="B25" s="103">
        <f>B11</f>
        <v>0</v>
      </c>
      <c r="C25" s="103">
        <f>C11</f>
        <v>0</v>
      </c>
      <c r="D25" s="103">
        <v>4010034</v>
      </c>
      <c r="E25" s="103">
        <f>E11</f>
        <v>3694878</v>
      </c>
      <c r="F25" s="103">
        <f>F11</f>
        <v>2903280.06</v>
      </c>
      <c r="G25" s="103">
        <f>G11</f>
        <v>2602957.46</v>
      </c>
    </row>
    <row r="26" spans="1:68">
      <c r="A26" t="s">
        <v>1030</v>
      </c>
      <c r="B26" s="103">
        <f>AVERAGE(B24:B25)</f>
        <v>-2045868</v>
      </c>
      <c r="C26" s="103">
        <f>AVERAGE(C24:C25)</f>
        <v>-2045868</v>
      </c>
      <c r="D26" s="103">
        <v>6258174.487999998</v>
      </c>
      <c r="E26" s="103">
        <f>AVERAGE(E24:E25)</f>
        <v>5384173.4059999995</v>
      </c>
      <c r="F26" s="103">
        <f>AVERAGE(F24:F25)</f>
        <v>3811572.7928549983</v>
      </c>
      <c r="G26" s="103">
        <f>AVERAGE(G24:G25)</f>
        <v>3268936.0491999998</v>
      </c>
    </row>
    <row r="27" spans="1:68" s="260" customFormat="1">
      <c r="A27" s="260" t="s">
        <v>636</v>
      </c>
      <c r="D27" s="260">
        <v>122940</v>
      </c>
      <c r="E27" s="260">
        <v>122940</v>
      </c>
      <c r="F27" s="260">
        <v>122940</v>
      </c>
      <c r="G27" s="260">
        <v>122940</v>
      </c>
    </row>
    <row r="28" spans="1:68" s="186" customFormat="1">
      <c r="A28" s="235" t="s">
        <v>1251</v>
      </c>
      <c r="B28" s="266">
        <f>'Stock$ Cal Data'!B29</f>
        <v>31.003520358345519</v>
      </c>
      <c r="C28" s="266">
        <f>'Stock$ Cal Data'!C29</f>
        <v>44.055048177972985</v>
      </c>
      <c r="D28" s="266">
        <v>50.904298747356421</v>
      </c>
      <c r="E28" s="266">
        <f>E26/E27</f>
        <v>43.795131006995277</v>
      </c>
      <c r="F28" s="266">
        <f>F26/F27</f>
        <v>31.003520358345519</v>
      </c>
      <c r="G28" s="266">
        <f>G26/G27</f>
        <v>26.589686425898812</v>
      </c>
      <c r="H28" s="236"/>
      <c r="I28" s="236"/>
      <c r="J28" s="236"/>
      <c r="K28" s="236"/>
      <c r="L28" s="236"/>
      <c r="M28" s="236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</row>
    <row r="29" spans="1:68">
      <c r="A29" t="s">
        <v>1513</v>
      </c>
      <c r="B29" s="186"/>
      <c r="C29" s="186"/>
      <c r="D29" s="186"/>
      <c r="E29" s="186"/>
      <c r="F29" s="232"/>
      <c r="G29" s="232"/>
      <c r="H29" s="232"/>
      <c r="I29" s="103"/>
      <c r="J29" s="103"/>
      <c r="K29" s="232"/>
      <c r="L29" s="232"/>
      <c r="M29" s="232"/>
    </row>
    <row r="30" spans="1:68">
      <c r="B30" s="186"/>
      <c r="C30" s="186"/>
      <c r="D30" s="186"/>
      <c r="E30" s="186"/>
      <c r="F30" s="232"/>
      <c r="G30" s="232"/>
      <c r="H30" s="232"/>
      <c r="I30" s="103"/>
      <c r="J30" s="103"/>
      <c r="K30" s="232"/>
      <c r="L30" s="232"/>
      <c r="M30" s="232"/>
    </row>
    <row r="31" spans="1:68" s="260" customFormat="1">
      <c r="A31" s="260" t="s">
        <v>473</v>
      </c>
      <c r="B31" s="263">
        <v>615209</v>
      </c>
      <c r="C31" s="263">
        <v>615209</v>
      </c>
      <c r="D31" s="263">
        <v>615209</v>
      </c>
      <c r="E31" s="263">
        <v>615209</v>
      </c>
      <c r="F31" s="264">
        <v>685081</v>
      </c>
      <c r="G31" s="263">
        <v>695000</v>
      </c>
      <c r="H31" s="262"/>
      <c r="I31" s="263"/>
      <c r="J31" s="263"/>
      <c r="K31" s="262"/>
      <c r="L31" s="262"/>
      <c r="M31" s="262"/>
    </row>
    <row r="32" spans="1:68" s="235" customFormat="1">
      <c r="A32" t="s">
        <v>1495</v>
      </c>
      <c r="B32" s="103">
        <f>B16+B31</f>
        <v>615209</v>
      </c>
      <c r="C32" s="103">
        <f>C16+C31</f>
        <v>615209</v>
      </c>
      <c r="D32" s="103">
        <v>2918157</v>
      </c>
      <c r="E32" s="103">
        <f>E16+E31</f>
        <v>2661775</v>
      </c>
      <c r="F32" s="103">
        <f>F16+F31</f>
        <v>2279787</v>
      </c>
      <c r="G32" s="103">
        <f>G16+G31</f>
        <v>2310647</v>
      </c>
      <c r="H32" s="103">
        <f>H14+H15+H8</f>
        <v>2493630</v>
      </c>
      <c r="I32" s="103">
        <f>I14+I15+I8</f>
        <v>644970</v>
      </c>
      <c r="J32" s="103">
        <f>J14+J15+J8</f>
        <v>-832874.147</v>
      </c>
      <c r="K32" s="103">
        <f>K16+K8</f>
        <v>2519429</v>
      </c>
      <c r="L32" s="103">
        <f>L16+L8</f>
        <v>2219381</v>
      </c>
      <c r="M32" s="103">
        <f>M14+M15+M8</f>
        <v>2247292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</row>
    <row r="33" spans="1:68" s="186" customFormat="1">
      <c r="A33" s="237"/>
      <c r="B33" s="234"/>
      <c r="C33" s="234"/>
      <c r="D33" s="234"/>
      <c r="E33" s="234"/>
      <c r="F33" s="237"/>
      <c r="G33" s="234"/>
      <c r="H33" s="234"/>
      <c r="K33" s="234"/>
      <c r="L33" s="234"/>
      <c r="M33" s="234"/>
    </row>
    <row r="34" spans="1:68">
      <c r="A34" t="s">
        <v>1288</v>
      </c>
      <c r="B34" s="117" t="e">
        <f>B32/B5</f>
        <v>#DIV/0!</v>
      </c>
      <c r="C34" s="117" t="e">
        <f>C32/C5</f>
        <v>#DIV/0!</v>
      </c>
      <c r="D34" s="117">
        <f>D32/D5</f>
        <v>0.21548397215577014</v>
      </c>
      <c r="E34" s="117">
        <f>E32/E5</f>
        <v>0.20989491356085435</v>
      </c>
      <c r="F34" s="103"/>
      <c r="G34" s="103"/>
      <c r="H34" s="103"/>
      <c r="I34" s="103"/>
      <c r="J34" s="103"/>
      <c r="K34" s="103"/>
      <c r="L34" s="103"/>
      <c r="M34" s="103"/>
    </row>
    <row r="35" spans="1:68">
      <c r="A35" t="s">
        <v>1134</v>
      </c>
      <c r="B35" s="117" t="e">
        <f>B16/B5</f>
        <v>#DIV/0!</v>
      </c>
      <c r="C35" s="117" t="e">
        <f>C16/C5</f>
        <v>#DIV/0!</v>
      </c>
      <c r="D35" s="117">
        <f>D16/D5</f>
        <v>0.170055409187438</v>
      </c>
      <c r="E35" s="117">
        <f>E16/E5</f>
        <v>0.16138245857241257</v>
      </c>
      <c r="F35" s="103"/>
      <c r="G35" s="103"/>
      <c r="H35" s="103"/>
      <c r="I35" s="103"/>
      <c r="J35" s="103"/>
      <c r="K35" s="103"/>
      <c r="L35" s="103"/>
      <c r="M35" s="103"/>
    </row>
    <row r="36" spans="1:68">
      <c r="A36" s="186"/>
      <c r="B36" s="186"/>
      <c r="C36" s="186"/>
      <c r="D36" s="186"/>
      <c r="E36" s="186"/>
      <c r="F36" s="186"/>
      <c r="G36" s="234"/>
      <c r="H36" s="186"/>
      <c r="I36" s="186"/>
      <c r="J36" s="186"/>
      <c r="K36" s="186"/>
      <c r="L36" s="186"/>
      <c r="M36" s="234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</row>
    <row r="37" spans="1:68" s="186" customFormat="1">
      <c r="A37" t="s">
        <v>1537</v>
      </c>
      <c r="B37"/>
      <c r="C37"/>
      <c r="D37"/>
      <c r="E37"/>
      <c r="F37"/>
      <c r="G37" s="103"/>
      <c r="H37" s="103"/>
      <c r="I37" s="103">
        <v>0</v>
      </c>
      <c r="J37" s="103"/>
      <c r="K37"/>
      <c r="L37"/>
      <c r="M37" s="103">
        <v>84000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" s="260" customFormat="1">
      <c r="A38" s="260" t="s">
        <v>1581</v>
      </c>
      <c r="E38" s="265">
        <v>50000</v>
      </c>
      <c r="G38" s="263"/>
      <c r="H38" s="263"/>
      <c r="I38" s="263"/>
      <c r="J38" s="263"/>
      <c r="K38" s="260">
        <v>50000</v>
      </c>
      <c r="L38" s="260">
        <v>50000</v>
      </c>
      <c r="M38" s="263">
        <v>92000</v>
      </c>
    </row>
    <row r="39" spans="1:68">
      <c r="A39" t="s">
        <v>1496</v>
      </c>
      <c r="E39" s="103">
        <f>E14+E15+E37+E38</f>
        <v>2096566</v>
      </c>
      <c r="G39" s="103"/>
      <c r="H39" s="103">
        <f>H14+327000+30000+117000</f>
        <v>1823630</v>
      </c>
      <c r="I39" s="103"/>
      <c r="J39" s="103">
        <f>J14+580000-117000*3+65000</f>
        <v>-538874.147</v>
      </c>
      <c r="K39" s="103">
        <f>K14+K15+K37+K38</f>
        <v>1895387</v>
      </c>
      <c r="L39" s="103">
        <f>L14+L15+L37+L38</f>
        <v>1588869</v>
      </c>
      <c r="M39" s="103">
        <f>M14+M15+M37+M38</f>
        <v>1728211</v>
      </c>
    </row>
    <row r="40" spans="1:68">
      <c r="G40" s="233"/>
      <c r="H40" s="233"/>
      <c r="I40" s="233"/>
      <c r="J40" s="233"/>
      <c r="M40" s="233"/>
    </row>
    <row r="41" spans="1:68">
      <c r="A41" t="s">
        <v>1552</v>
      </c>
      <c r="E41" s="103">
        <f>2499047+237164-62000+263197+1581.5</f>
        <v>2938989.5</v>
      </c>
      <c r="F41" s="233">
        <v>2370000</v>
      </c>
      <c r="G41" s="233">
        <v>2090172.46</v>
      </c>
      <c r="H41" s="233">
        <v>2600000</v>
      </c>
      <c r="I41" s="233"/>
      <c r="J41" s="233"/>
      <c r="K41" s="233">
        <f>2136849+557020-60000+249932+1407</f>
        <v>2885208</v>
      </c>
      <c r="L41" s="233">
        <f>1958141+322730.6-58000+253020</f>
        <v>2475891.6</v>
      </c>
      <c r="M41" s="233">
        <v>2625180</v>
      </c>
    </row>
    <row r="42" spans="1:68">
      <c r="A42" t="s">
        <v>332</v>
      </c>
      <c r="E42" s="255">
        <v>9250471.3699999992</v>
      </c>
      <c r="F42" s="233">
        <v>8438301.1799999997</v>
      </c>
      <c r="G42" s="233">
        <v>8526341.5</v>
      </c>
      <c r="H42" s="233">
        <v>8538038.9199999999</v>
      </c>
      <c r="I42" s="233">
        <v>8251518</v>
      </c>
      <c r="J42" s="233"/>
      <c r="K42" s="233">
        <v>9038349</v>
      </c>
      <c r="L42" s="233">
        <v>8783994</v>
      </c>
      <c r="M42" s="233">
        <v>8512608</v>
      </c>
    </row>
    <row r="43" spans="1:68">
      <c r="A43" t="s">
        <v>1201</v>
      </c>
      <c r="E43" s="251"/>
      <c r="F43" s="233"/>
      <c r="G43" s="233"/>
      <c r="H43" s="233"/>
      <c r="I43" s="233"/>
      <c r="J43" s="233"/>
      <c r="K43" s="233"/>
      <c r="L43" s="233"/>
      <c r="M43" s="233"/>
    </row>
    <row r="44" spans="1:68">
      <c r="A44" t="s">
        <v>1142</v>
      </c>
      <c r="E44" s="255">
        <f>2693333.46+400000+315973.56+4885+159999+484233.28+2235.94+16150.21+14924.66</f>
        <v>4091735.11</v>
      </c>
      <c r="F44" s="233">
        <f>2952518.26+1010000+413333.28+30000</f>
        <v>4405851.54</v>
      </c>
      <c r="G44" s="233">
        <f>3185752.22+846000+162100+33871.51+159999.96+413333.28+16814.85</f>
        <v>4817871.82</v>
      </c>
      <c r="H44" s="233">
        <f>3200827.57+746000
+91300
+38587.8
+159999.96
+413333.28
+16814.85</f>
        <v>4666863.46</v>
      </c>
      <c r="I44" s="233"/>
      <c r="J44" s="233"/>
      <c r="K44" s="233">
        <f>2706667+500000+509233+4885+159999+335493+16150+2642+16196</f>
        <v>4251265</v>
      </c>
      <c r="L44" s="233">
        <f>2888135+600000+362700+4885+159999+413333+16150</f>
        <v>4445202</v>
      </c>
      <c r="M44" s="233">
        <f>3051410+1179024+613824+60000</f>
        <v>4904258</v>
      </c>
    </row>
    <row r="45" spans="1:68">
      <c r="A45" t="s">
        <v>1133</v>
      </c>
      <c r="E45" s="255">
        <v>102989.45</v>
      </c>
      <c r="F45" s="233"/>
      <c r="G45" s="233"/>
      <c r="H45" s="233"/>
      <c r="I45" s="233"/>
      <c r="J45" s="233"/>
      <c r="K45" s="233"/>
      <c r="L45" s="233"/>
      <c r="M45" s="233"/>
    </row>
    <row r="46" spans="1:68">
      <c r="A46" t="s">
        <v>488</v>
      </c>
      <c r="E46" s="255">
        <v>5555593.5899999999</v>
      </c>
      <c r="F46" s="233">
        <v>5535021.1200000001</v>
      </c>
      <c r="G46" s="233">
        <v>5923384.04</v>
      </c>
      <c r="H46" s="233">
        <v>5872674</v>
      </c>
      <c r="I46" s="233">
        <v>6754063</v>
      </c>
      <c r="J46" s="233"/>
      <c r="K46" s="233">
        <v>5551442</v>
      </c>
      <c r="L46" s="233">
        <v>5754786</v>
      </c>
      <c r="M46" s="233">
        <f>2754352+3051410</f>
        <v>5805762</v>
      </c>
    </row>
    <row r="47" spans="1:68">
      <c r="A47" t="s">
        <v>494</v>
      </c>
      <c r="E47" s="255">
        <v>3694878</v>
      </c>
      <c r="F47" s="233">
        <v>2903280.06</v>
      </c>
      <c r="G47" s="233">
        <v>2602957.46</v>
      </c>
      <c r="H47" s="233">
        <v>2665365.2599999998</v>
      </c>
      <c r="I47" s="233">
        <f>I42-I46</f>
        <v>1497455</v>
      </c>
      <c r="J47" s="233">
        <f>1488936-147427-109414</f>
        <v>1232095</v>
      </c>
      <c r="K47" s="233">
        <f>K42-K46</f>
        <v>3486907</v>
      </c>
      <c r="L47" s="233">
        <f>L42-L46</f>
        <v>3029208</v>
      </c>
      <c r="M47" s="233">
        <f>M42-M46</f>
        <v>2706846</v>
      </c>
    </row>
    <row r="49" spans="1:13">
      <c r="A49" t="s">
        <v>1418</v>
      </c>
      <c r="E49">
        <v>85</v>
      </c>
      <c r="H49">
        <v>80</v>
      </c>
      <c r="I49">
        <v>95</v>
      </c>
      <c r="J49">
        <v>110</v>
      </c>
      <c r="K49">
        <v>90</v>
      </c>
      <c r="L49">
        <v>85</v>
      </c>
      <c r="M49">
        <v>80</v>
      </c>
    </row>
    <row r="51" spans="1:13">
      <c r="A51" t="s">
        <v>1282</v>
      </c>
      <c r="E51" s="199">
        <f>E39/(E47+L47)*2</f>
        <v>0.62359880584513638</v>
      </c>
      <c r="G51" s="117"/>
      <c r="H51" s="117">
        <f>H39/(H47+J47)*2</f>
        <v>0.93580428194026033</v>
      </c>
      <c r="K51" s="199">
        <f>K39/(K47+H47)*2</f>
        <v>0.61615836227637955</v>
      </c>
      <c r="L51" s="199">
        <f>L39/(L47+M47)*2</f>
        <v>0.55399373855267053</v>
      </c>
      <c r="M51" s="117">
        <f>M39/(M47+I47)*2</f>
        <v>0.82211573338826116</v>
      </c>
    </row>
    <row r="52" spans="1:13">
      <c r="A52" t="s">
        <v>1116</v>
      </c>
      <c r="E52" s="117">
        <f>E39/(E42+F42)*2</f>
        <v>0.23705047866648049</v>
      </c>
      <c r="G52" s="117"/>
      <c r="H52" s="117">
        <f>H39/H42</f>
        <v>0.21358886005171782</v>
      </c>
      <c r="K52" s="117">
        <f>K39/(K42+H42)*2</f>
        <v>0.21567423393554686</v>
      </c>
      <c r="L52" s="117">
        <f>L39/(L42+G42)*2</f>
        <v>0.18357460489428412</v>
      </c>
      <c r="M52" s="117">
        <f>M39/(M42+I42)*2</f>
        <v>0.20617967199721596</v>
      </c>
    </row>
    <row r="53" spans="1:13">
      <c r="A53" t="s">
        <v>557</v>
      </c>
      <c r="E53" s="103">
        <v>3559920.4</v>
      </c>
      <c r="G53" s="103"/>
      <c r="H53" s="103"/>
      <c r="I53" s="103">
        <v>2589709</v>
      </c>
      <c r="K53" s="103">
        <v>3425056</v>
      </c>
      <c r="L53" s="103">
        <v>2788574.22</v>
      </c>
      <c r="M53" s="103">
        <v>2788574.22</v>
      </c>
    </row>
    <row r="54" spans="1:13">
      <c r="A54" t="s">
        <v>918</v>
      </c>
      <c r="E54" s="103">
        <v>2529125.9700000002</v>
      </c>
      <c r="G54" s="103"/>
      <c r="H54" s="103"/>
      <c r="I54" s="103">
        <v>3353387</v>
      </c>
      <c r="K54" s="103">
        <v>2490444</v>
      </c>
      <c r="L54" s="103">
        <v>2620693.34</v>
      </c>
      <c r="M54" s="103">
        <v>2620693.34</v>
      </c>
    </row>
    <row r="55" spans="1:13">
      <c r="A55" t="s">
        <v>725</v>
      </c>
      <c r="E55" s="229">
        <f>E53/E54</f>
        <v>1.40756943000352</v>
      </c>
      <c r="G55" s="229"/>
      <c r="H55">
        <v>1.1000000000000001</v>
      </c>
      <c r="I55" s="229">
        <f>I53/I54</f>
        <v>0.77226666650762343</v>
      </c>
      <c r="K55" s="229">
        <f>K53/K54</f>
        <v>1.3752792674719849</v>
      </c>
      <c r="L55" s="229">
        <f>L53/L54</f>
        <v>1.0640597194023473</v>
      </c>
      <c r="M55" s="229">
        <f>M53/M54</f>
        <v>1.0640597194023473</v>
      </c>
    </row>
    <row r="57" spans="1:13">
      <c r="A57" t="s">
        <v>58</v>
      </c>
      <c r="E57" s="103">
        <v>2625179.42</v>
      </c>
      <c r="G57" s="103"/>
      <c r="I57" s="103">
        <f>2256172+57039-23000+153480</f>
        <v>2443691</v>
      </c>
      <c r="K57" s="103">
        <v>2625179.42</v>
      </c>
      <c r="L57" s="103">
        <v>2625179.42</v>
      </c>
      <c r="M57" s="103">
        <v>2625179.42</v>
      </c>
    </row>
    <row r="58" spans="1:13">
      <c r="A58" t="s">
        <v>967</v>
      </c>
      <c r="E58" s="75">
        <f>E6/E5*365</f>
        <v>84.590476534059746</v>
      </c>
      <c r="F58" s="75">
        <f>F6/F5*365</f>
        <v>71.671090961513599</v>
      </c>
      <c r="G58" s="75">
        <f>G6/G5*365</f>
        <v>65.05242757231342</v>
      </c>
      <c r="H58">
        <v>62</v>
      </c>
      <c r="I58" s="75">
        <f>I57/I5*365</f>
        <v>76.723738198296161</v>
      </c>
      <c r="K58" s="75">
        <f>K6/K5*365</f>
        <v>78.70280022091471</v>
      </c>
      <c r="L58" s="75">
        <f>L6/L5*365</f>
        <v>75.546479412026812</v>
      </c>
      <c r="M58" s="75">
        <f>M6/M5*365</f>
        <v>80.254147300203172</v>
      </c>
    </row>
    <row r="60" spans="1:13">
      <c r="A60" t="s">
        <v>1007</v>
      </c>
      <c r="K60" s="103">
        <v>35590</v>
      </c>
      <c r="L60" s="103">
        <v>33650</v>
      </c>
    </row>
    <row r="61" spans="1:13">
      <c r="A61" t="s">
        <v>57</v>
      </c>
      <c r="K61" s="103">
        <v>54264</v>
      </c>
      <c r="L61" s="103">
        <v>54264</v>
      </c>
    </row>
    <row r="63" spans="1:13">
      <c r="A63" s="187" t="s">
        <v>966</v>
      </c>
      <c r="B63" s="187"/>
      <c r="C63" s="187"/>
      <c r="D63" s="187"/>
      <c r="F63" s="187"/>
    </row>
    <row r="64" spans="1:13">
      <c r="A64" t="s">
        <v>658</v>
      </c>
      <c r="E64" s="103">
        <f>E14</f>
        <v>1628156</v>
      </c>
      <c r="G64" s="103"/>
      <c r="H64" s="103">
        <f>H14</f>
        <v>1349630</v>
      </c>
      <c r="I64" s="103">
        <f>I14</f>
        <v>-844960</v>
      </c>
      <c r="K64" s="103">
        <f t="shared" ref="K64:M65" si="1">K14</f>
        <v>1421583</v>
      </c>
      <c r="L64" s="103">
        <f t="shared" si="1"/>
        <v>1112920</v>
      </c>
      <c r="M64" s="103">
        <f t="shared" si="1"/>
        <v>1121901</v>
      </c>
    </row>
    <row r="65" spans="1:13">
      <c r="A65" t="s">
        <v>659</v>
      </c>
      <c r="E65" s="103">
        <f>E15</f>
        <v>418410</v>
      </c>
      <c r="G65" s="103"/>
      <c r="H65" s="103">
        <v>444000</v>
      </c>
      <c r="I65" s="103">
        <f>I15</f>
        <v>580470</v>
      </c>
      <c r="K65" s="103">
        <f t="shared" si="1"/>
        <v>423804</v>
      </c>
      <c r="L65" s="103">
        <f t="shared" si="1"/>
        <v>425949</v>
      </c>
      <c r="M65" s="103">
        <f t="shared" si="1"/>
        <v>430310</v>
      </c>
    </row>
    <row r="66" spans="1:13">
      <c r="A66" t="s">
        <v>1437</v>
      </c>
      <c r="E66" s="103">
        <f>E65+E64</f>
        <v>2046566</v>
      </c>
      <c r="G66" s="103"/>
      <c r="H66" s="103">
        <f>H65+H64</f>
        <v>1793630</v>
      </c>
      <c r="I66" s="103">
        <f>I65+I64</f>
        <v>-264490</v>
      </c>
      <c r="K66" s="103">
        <f>K65+K64</f>
        <v>1845387</v>
      </c>
      <c r="L66" s="103">
        <f>L65+L64</f>
        <v>1538869</v>
      </c>
      <c r="M66" s="103">
        <f>M65+M64</f>
        <v>1552211</v>
      </c>
    </row>
    <row r="67" spans="1:13">
      <c r="A67" t="s">
        <v>1339</v>
      </c>
      <c r="E67" s="103">
        <f>E66*0.42</f>
        <v>859557.72</v>
      </c>
      <c r="G67" s="103"/>
      <c r="H67" s="103">
        <f>H66*0.42</f>
        <v>753324.6</v>
      </c>
      <c r="I67" s="103">
        <f>I66*0.42</f>
        <v>-111085.8</v>
      </c>
      <c r="K67" s="103">
        <f>K66*0.42</f>
        <v>775062.53999999992</v>
      </c>
      <c r="L67" s="103">
        <f>L66*0.42</f>
        <v>646324.98</v>
      </c>
      <c r="M67" s="103">
        <f>M66*0.42</f>
        <v>651928.62</v>
      </c>
    </row>
    <row r="68" spans="1:13">
      <c r="A68" t="s">
        <v>776</v>
      </c>
      <c r="E68" s="103">
        <f>E66-E67</f>
        <v>1187008.28</v>
      </c>
      <c r="G68" s="103"/>
      <c r="H68" s="103">
        <f>H66-H67</f>
        <v>1040305.4</v>
      </c>
      <c r="I68" s="103">
        <f>I66-I67</f>
        <v>-153404.20000000001</v>
      </c>
      <c r="K68" s="103">
        <f>K66-K67</f>
        <v>1070324.46</v>
      </c>
      <c r="L68" s="103">
        <f>L66-L67</f>
        <v>892544.02</v>
      </c>
      <c r="M68" s="103">
        <f>M66-M67</f>
        <v>900282.38</v>
      </c>
    </row>
    <row r="69" spans="1:13">
      <c r="G69" s="103"/>
      <c r="H69" s="103"/>
      <c r="M69" s="103"/>
    </row>
    <row r="70" spans="1:13">
      <c r="A70" s="187" t="s">
        <v>1132</v>
      </c>
      <c r="B70" s="187"/>
      <c r="C70" s="187"/>
      <c r="D70" s="187"/>
      <c r="E70" s="187"/>
      <c r="F70" s="187"/>
      <c r="G70" s="103"/>
      <c r="H70" s="103"/>
      <c r="K70" s="187"/>
      <c r="L70" s="187"/>
      <c r="M70" s="103"/>
    </row>
    <row r="71" spans="1:13">
      <c r="A71" t="s">
        <v>488</v>
      </c>
      <c r="G71" s="103"/>
      <c r="H71" s="103">
        <f>H46</f>
        <v>5872674</v>
      </c>
      <c r="M71" s="103">
        <f>M46</f>
        <v>5805762</v>
      </c>
    </row>
    <row r="72" spans="1:13">
      <c r="G72" s="103"/>
      <c r="H72" s="103"/>
      <c r="M72" s="103"/>
    </row>
    <row r="73" spans="1:13">
      <c r="A73" t="s">
        <v>1283</v>
      </c>
      <c r="G73" s="103"/>
      <c r="H73" s="103"/>
      <c r="M73" s="103"/>
    </row>
    <row r="74" spans="1:13">
      <c r="A74" t="s">
        <v>1460</v>
      </c>
      <c r="G74" s="103"/>
      <c r="H74" s="103"/>
      <c r="M74" s="103"/>
    </row>
    <row r="75" spans="1:13">
      <c r="G75" s="103"/>
      <c r="H75" s="103"/>
      <c r="M75" s="103"/>
    </row>
    <row r="76" spans="1:13">
      <c r="G76" s="103"/>
      <c r="H76" s="103"/>
      <c r="M76" s="103"/>
    </row>
    <row r="77" spans="1:13">
      <c r="A77" t="s">
        <v>489</v>
      </c>
      <c r="G77" s="103"/>
      <c r="H77" s="103">
        <f>2671846-746000-91300-38587.8-160000-413333-16814</f>
        <v>1205811.2</v>
      </c>
      <c r="M77" s="103">
        <f>M105</f>
        <v>656654.03</v>
      </c>
    </row>
    <row r="78" spans="1:13">
      <c r="A78" t="s">
        <v>184</v>
      </c>
      <c r="G78" s="103"/>
      <c r="H78" s="103">
        <f>H71-H77</f>
        <v>4666862.8</v>
      </c>
      <c r="M78" s="103">
        <f>M71-M77</f>
        <v>5149107.97</v>
      </c>
    </row>
    <row r="80" spans="1:13">
      <c r="A80" t="s">
        <v>1440</v>
      </c>
      <c r="G80" s="200"/>
      <c r="H80" s="200">
        <f>34780*12/H78</f>
        <v>8.9430527076990562E-2</v>
      </c>
      <c r="M80" s="200">
        <f>M65/M78</f>
        <v>8.3569814909124934E-2</v>
      </c>
    </row>
    <row r="81" spans="1:13">
      <c r="A81" t="s">
        <v>777</v>
      </c>
      <c r="G81" s="117"/>
      <c r="H81" s="117">
        <v>0.1</v>
      </c>
      <c r="M81" s="117">
        <v>0.1</v>
      </c>
    </row>
    <row r="83" spans="1:13">
      <c r="A83" t="s">
        <v>1006</v>
      </c>
      <c r="G83" s="103"/>
      <c r="H83" s="103">
        <f>H68-H78*H81</f>
        <v>573619.12</v>
      </c>
      <c r="M83" s="103">
        <f>M68-M78*M81</f>
        <v>385371.58299999998</v>
      </c>
    </row>
    <row r="85" spans="1:13">
      <c r="A85" t="s">
        <v>1002</v>
      </c>
      <c r="G85" s="199"/>
      <c r="H85" s="199">
        <f>H68/H78</f>
        <v>0.2229132169902231</v>
      </c>
      <c r="M85" s="199">
        <f>M68/M78</f>
        <v>0.17484239702202245</v>
      </c>
    </row>
    <row r="86" spans="1:13">
      <c r="G86" s="117"/>
      <c r="M86" s="117"/>
    </row>
    <row r="87" spans="1:13">
      <c r="A87" t="s">
        <v>848</v>
      </c>
      <c r="G87" s="103"/>
      <c r="M87" s="103">
        <f>M5/M49</f>
        <v>149243.17499999999</v>
      </c>
    </row>
    <row r="88" spans="1:13">
      <c r="A88" t="s">
        <v>1136</v>
      </c>
      <c r="G88" s="103"/>
      <c r="M88" s="103">
        <f>(M14+M15)/M49</f>
        <v>19402.637500000001</v>
      </c>
    </row>
    <row r="90" spans="1:13">
      <c r="A90" t="s">
        <v>1151</v>
      </c>
      <c r="G90" s="103"/>
      <c r="M90" s="103">
        <v>51642.53</v>
      </c>
    </row>
    <row r="91" spans="1:13">
      <c r="A91" t="s">
        <v>1306</v>
      </c>
      <c r="G91" s="103"/>
      <c r="M91" s="103">
        <v>14165.33</v>
      </c>
    </row>
    <row r="92" spans="1:13">
      <c r="A92" t="s">
        <v>1042</v>
      </c>
      <c r="G92" s="103"/>
      <c r="M92" s="103">
        <v>44198.53</v>
      </c>
    </row>
    <row r="93" spans="1:13">
      <c r="A93" t="s">
        <v>900</v>
      </c>
      <c r="G93" s="103"/>
      <c r="M93" s="103">
        <v>258093.25</v>
      </c>
    </row>
    <row r="94" spans="1:13">
      <c r="A94" t="s">
        <v>670</v>
      </c>
      <c r="G94" s="103"/>
      <c r="M94" s="103">
        <v>4048.05</v>
      </c>
    </row>
    <row r="95" spans="1:13">
      <c r="A95" t="s">
        <v>671</v>
      </c>
      <c r="G95" s="103"/>
      <c r="M95" s="103">
        <v>134.35</v>
      </c>
    </row>
    <row r="96" spans="1:13">
      <c r="A96" t="s">
        <v>672</v>
      </c>
      <c r="G96" s="103"/>
      <c r="M96" s="103">
        <v>1116.3499999999999</v>
      </c>
    </row>
    <row r="97" spans="1:13">
      <c r="A97" t="s">
        <v>1410</v>
      </c>
      <c r="G97" s="103"/>
      <c r="M97" s="103">
        <v>4147.76</v>
      </c>
    </row>
    <row r="98" spans="1:13">
      <c r="A98" t="s">
        <v>1393</v>
      </c>
      <c r="G98" s="103"/>
      <c r="M98" s="103">
        <v>156.34</v>
      </c>
    </row>
    <row r="99" spans="1:13">
      <c r="A99" t="s">
        <v>911</v>
      </c>
      <c r="G99" s="103"/>
      <c r="M99" s="103">
        <v>65021.47</v>
      </c>
    </row>
    <row r="100" spans="1:13">
      <c r="A100" t="s">
        <v>582</v>
      </c>
      <c r="G100" s="103"/>
      <c r="M100" s="103">
        <v>18500</v>
      </c>
    </row>
    <row r="101" spans="1:13">
      <c r="A101" t="s">
        <v>583</v>
      </c>
      <c r="G101" s="103"/>
      <c r="M101" s="103">
        <v>105000</v>
      </c>
    </row>
    <row r="102" spans="1:13">
      <c r="A102" t="s">
        <v>584</v>
      </c>
      <c r="G102" s="103"/>
      <c r="M102" s="103">
        <v>8000</v>
      </c>
    </row>
    <row r="103" spans="1:13">
      <c r="A103" t="s">
        <v>1220</v>
      </c>
      <c r="G103" s="103"/>
      <c r="M103" s="103">
        <v>2000</v>
      </c>
    </row>
    <row r="104" spans="1:13">
      <c r="A104" s="64" t="s">
        <v>899</v>
      </c>
      <c r="B104" s="64"/>
      <c r="C104" s="64"/>
      <c r="D104" s="64"/>
      <c r="E104" s="64"/>
      <c r="F104" s="64"/>
      <c r="G104" s="137"/>
      <c r="K104" s="64"/>
      <c r="L104" s="64"/>
      <c r="M104" s="208">
        <v>80430.070000000007</v>
      </c>
    </row>
    <row r="105" spans="1:13">
      <c r="A105" s="187" t="s">
        <v>489</v>
      </c>
      <c r="B105" s="187"/>
      <c r="C105" s="187"/>
      <c r="D105" s="187"/>
      <c r="E105" s="187"/>
      <c r="F105" s="187"/>
      <c r="G105" s="230"/>
      <c r="K105" s="187"/>
      <c r="L105" s="187"/>
      <c r="M105" s="230">
        <f>SUM(M90:M104)</f>
        <v>656654.03</v>
      </c>
    </row>
    <row r="107" spans="1:13">
      <c r="A107" t="s">
        <v>951</v>
      </c>
      <c r="G107" s="103"/>
      <c r="M107" s="103">
        <v>111190.43</v>
      </c>
    </row>
    <row r="108" spans="1:13">
      <c r="A108" t="s">
        <v>653</v>
      </c>
      <c r="G108" s="103"/>
      <c r="M108" s="103">
        <v>60000</v>
      </c>
    </row>
    <row r="109" spans="1:13">
      <c r="A109" t="s">
        <v>654</v>
      </c>
      <c r="G109" s="103"/>
      <c r="M109" s="103">
        <v>1016924</v>
      </c>
    </row>
    <row r="110" spans="1:13">
      <c r="A110" t="s">
        <v>969</v>
      </c>
      <c r="G110" s="103"/>
      <c r="M110" s="103">
        <v>162100</v>
      </c>
    </row>
    <row r="111" spans="1:13">
      <c r="A111" t="s">
        <v>950</v>
      </c>
      <c r="G111" s="103"/>
      <c r="M111" s="103">
        <v>24341.43</v>
      </c>
    </row>
    <row r="112" spans="1:13">
      <c r="A112" t="s">
        <v>1411</v>
      </c>
      <c r="G112" s="103"/>
      <c r="M112" s="103">
        <v>159999.96</v>
      </c>
    </row>
    <row r="113" spans="1:15">
      <c r="A113" t="s">
        <v>1152</v>
      </c>
      <c r="G113" s="103"/>
      <c r="M113" s="103">
        <v>413333.28</v>
      </c>
    </row>
    <row r="114" spans="1:15">
      <c r="A114" t="s">
        <v>1196</v>
      </c>
      <c r="G114" s="103"/>
      <c r="M114" s="103">
        <v>16150.21</v>
      </c>
    </row>
    <row r="118" spans="1:15">
      <c r="A118" s="237" t="s">
        <v>218</v>
      </c>
      <c r="B118" s="237"/>
      <c r="C118" s="237"/>
      <c r="D118" s="237"/>
    </row>
    <row r="120" spans="1:15" ht="26">
      <c r="A120" s="201"/>
      <c r="B120" s="201"/>
      <c r="C120" s="201"/>
      <c r="D120" s="201"/>
      <c r="E120" s="201"/>
      <c r="F120" s="132" t="s">
        <v>785</v>
      </c>
      <c r="G120" s="132" t="s">
        <v>1020</v>
      </c>
      <c r="H120" s="132" t="s">
        <v>1020</v>
      </c>
      <c r="I120" s="132" t="s">
        <v>474</v>
      </c>
      <c r="J120" s="132" t="s">
        <v>1169</v>
      </c>
      <c r="K120" s="132" t="s">
        <v>807</v>
      </c>
      <c r="L120" s="132" t="s">
        <v>1499</v>
      </c>
      <c r="M120" s="132" t="s">
        <v>1281</v>
      </c>
    </row>
    <row r="121" spans="1:15">
      <c r="F121" s="238">
        <v>35216</v>
      </c>
      <c r="G121" s="238">
        <v>35185</v>
      </c>
      <c r="H121" s="238">
        <v>35155</v>
      </c>
      <c r="I121" s="238">
        <v>35095</v>
      </c>
      <c r="J121" s="238">
        <v>35033</v>
      </c>
      <c r="K121" s="238">
        <v>34972</v>
      </c>
      <c r="L121" s="238">
        <v>34942</v>
      </c>
    </row>
    <row r="122" spans="1:15" ht="15">
      <c r="A122" t="s">
        <v>331</v>
      </c>
      <c r="F122" s="291"/>
      <c r="G122" s="291"/>
      <c r="H122" s="291"/>
      <c r="I122" s="103">
        <v>12069720</v>
      </c>
      <c r="J122" s="103">
        <v>11939454</v>
      </c>
      <c r="K122" s="103">
        <v>11727663</v>
      </c>
      <c r="L122" s="103">
        <v>11913147</v>
      </c>
      <c r="M122" s="103">
        <v>11625440</v>
      </c>
    </row>
    <row r="123" spans="1:15" ht="15">
      <c r="A123" t="s">
        <v>219</v>
      </c>
      <c r="F123" s="291"/>
      <c r="G123" s="291"/>
      <c r="H123" s="291"/>
      <c r="I123" s="103">
        <v>1166706</v>
      </c>
      <c r="J123" s="103">
        <v>1121901</v>
      </c>
      <c r="K123" s="103">
        <v>1175647</v>
      </c>
      <c r="L123" s="103">
        <v>1349630</v>
      </c>
      <c r="M123" s="103">
        <v>-844960</v>
      </c>
      <c r="N123" s="24"/>
      <c r="O123" s="24"/>
    </row>
    <row r="124" spans="1:15">
      <c r="A124" t="s">
        <v>1438</v>
      </c>
      <c r="F124" s="250">
        <f>G124+33650-35701</f>
        <v>386163</v>
      </c>
      <c r="G124" s="103">
        <f>H124+G143-37735</f>
        <v>388214</v>
      </c>
      <c r="H124" s="103">
        <f>I124+33650-35701</f>
        <v>425949</v>
      </c>
      <c r="I124" s="103">
        <v>428000</v>
      </c>
      <c r="J124" s="103">
        <v>430310</v>
      </c>
      <c r="K124" s="103">
        <v>440000</v>
      </c>
      <c r="L124" s="103">
        <f>327000+117000</f>
        <v>444000</v>
      </c>
      <c r="M124" s="103">
        <v>580470</v>
      </c>
      <c r="N124" s="97"/>
      <c r="O124" s="97"/>
    </row>
    <row r="125" spans="1:15">
      <c r="A125" t="s">
        <v>869</v>
      </c>
      <c r="F125" s="250">
        <f>-4569+G125</f>
        <v>615209</v>
      </c>
      <c r="G125" s="103">
        <f>H125+G144-60734</f>
        <v>619778</v>
      </c>
      <c r="H125" s="103">
        <f>-4569+I125</f>
        <v>680512</v>
      </c>
      <c r="I125" s="103">
        <v>685081</v>
      </c>
      <c r="J125" s="103">
        <v>695081</v>
      </c>
      <c r="K125" s="103">
        <v>695000</v>
      </c>
      <c r="L125" s="103">
        <v>700000</v>
      </c>
      <c r="M125" s="103">
        <v>909460</v>
      </c>
      <c r="N125" s="97"/>
      <c r="O125" s="97"/>
    </row>
    <row r="126" spans="1:15">
      <c r="H126" s="5"/>
      <c r="I126" s="5"/>
      <c r="J126" s="5"/>
      <c r="N126" s="5"/>
      <c r="O126" s="5"/>
    </row>
    <row r="127" spans="1:15">
      <c r="H127" s="25"/>
      <c r="I127" s="25"/>
      <c r="J127" s="25"/>
      <c r="N127" s="25"/>
      <c r="O127" s="25"/>
    </row>
    <row r="128" spans="1:15">
      <c r="H128" s="25"/>
      <c r="I128" s="25"/>
      <c r="J128" s="25"/>
      <c r="N128" s="25"/>
      <c r="O128" s="25"/>
    </row>
    <row r="129" spans="8:15">
      <c r="H129" s="48"/>
      <c r="I129" s="48"/>
      <c r="J129" s="48"/>
      <c r="N129" s="48"/>
      <c r="O129" s="48"/>
    </row>
    <row r="130" spans="8:15">
      <c r="H130" s="48"/>
      <c r="I130" s="48"/>
      <c r="J130" s="48"/>
      <c r="N130" s="48"/>
      <c r="O130" s="48"/>
    </row>
    <row r="131" spans="8:15">
      <c r="H131" s="48"/>
      <c r="I131" s="48"/>
      <c r="J131" s="48"/>
      <c r="N131" s="48"/>
      <c r="O131" s="48"/>
    </row>
    <row r="132" spans="8:15">
      <c r="H132" s="48"/>
      <c r="I132" s="48"/>
      <c r="J132" s="48"/>
      <c r="N132" s="48"/>
      <c r="O132" s="48"/>
    </row>
    <row r="133" spans="8:15">
      <c r="H133" s="75"/>
      <c r="I133" s="75"/>
      <c r="J133" s="75"/>
      <c r="N133" s="75"/>
      <c r="O133" s="75"/>
    </row>
    <row r="134" spans="8:15">
      <c r="H134" s="75"/>
      <c r="I134" s="75"/>
      <c r="J134" s="75"/>
      <c r="N134" s="75"/>
      <c r="O134" s="75"/>
    </row>
    <row r="135" spans="8:15">
      <c r="H135" s="48"/>
      <c r="I135" s="48"/>
      <c r="J135" s="48"/>
      <c r="N135" s="48"/>
      <c r="O135" s="48"/>
    </row>
    <row r="136" spans="8:15">
      <c r="H136" s="48"/>
      <c r="I136" s="48"/>
      <c r="J136" s="48"/>
      <c r="N136" s="48"/>
      <c r="O136" s="48"/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 enableFormatConditionsCalculation="0">
    <pageSetUpPr fitToPage="1"/>
  </sheetPr>
  <dimension ref="A1:K257"/>
  <sheetViews>
    <sheetView workbookViewId="0">
      <pane ySplit="5" topLeftCell="A108" activePane="bottomLeft" state="frozenSplit"/>
      <selection pane="bottomLeft" activeCell="A108" sqref="A1:I1048576"/>
    </sheetView>
  </sheetViews>
  <sheetFormatPr baseColWidth="10" defaultRowHeight="15" x14ac:dyDescent="0"/>
  <cols>
    <col min="1" max="1" width="10.28515625" style="503" customWidth="1"/>
    <col min="2" max="2" width="0.140625" style="503" customWidth="1"/>
    <col min="3" max="3" width="39.28515625" style="503" bestFit="1" customWidth="1"/>
    <col min="4" max="4" width="9.85546875" style="506" customWidth="1"/>
    <col min="5" max="5" width="11.28515625" style="506" customWidth="1"/>
    <col min="6" max="9" width="11.85546875" style="511" customWidth="1"/>
    <col min="10" max="10" width="33.28515625" style="503" customWidth="1"/>
    <col min="11" max="11" width="7.28515625" customWidth="1"/>
  </cols>
  <sheetData>
    <row r="1" spans="1:11">
      <c r="C1" s="504" t="s">
        <v>1374</v>
      </c>
      <c r="F1" s="512"/>
      <c r="G1" s="512">
        <f>SUM(G6:G114)</f>
        <v>857002.47999999975</v>
      </c>
      <c r="H1" s="512">
        <f>SUM(H6:H114)</f>
        <v>479269.24</v>
      </c>
      <c r="I1" s="512">
        <f>SUM(I6:I114)</f>
        <v>165533.87000000002</v>
      </c>
    </row>
    <row r="2" spans="1:11">
      <c r="C2" s="504" t="s">
        <v>1541</v>
      </c>
      <c r="I2" s="512">
        <f>G1-H1-I1</f>
        <v>212199.36999999973</v>
      </c>
      <c r="J2" s="514"/>
    </row>
    <row r="4" spans="1:11">
      <c r="A4" s="492"/>
      <c r="B4" s="492"/>
      <c r="C4" s="492"/>
      <c r="D4" s="811" t="s">
        <v>1316</v>
      </c>
      <c r="E4" s="811"/>
      <c r="F4" s="509" t="s">
        <v>451</v>
      </c>
      <c r="G4" s="509" t="s">
        <v>452</v>
      </c>
      <c r="H4" s="509" t="s">
        <v>452</v>
      </c>
      <c r="I4" s="509" t="s">
        <v>452</v>
      </c>
      <c r="J4" s="492"/>
      <c r="K4" s="492"/>
    </row>
    <row r="5" spans="1:11" ht="16">
      <c r="A5" s="494" t="s">
        <v>744</v>
      </c>
      <c r="B5" s="494" t="s">
        <v>745</v>
      </c>
      <c r="C5" s="494" t="s">
        <v>352</v>
      </c>
      <c r="D5" s="505" t="s">
        <v>1503</v>
      </c>
      <c r="E5" s="505" t="s">
        <v>1504</v>
      </c>
      <c r="F5" s="510" t="s">
        <v>450</v>
      </c>
      <c r="G5" s="510" t="s">
        <v>332</v>
      </c>
      <c r="H5" s="510" t="s">
        <v>429</v>
      </c>
      <c r="I5" s="510" t="s">
        <v>494</v>
      </c>
      <c r="J5" s="490" t="s">
        <v>353</v>
      </c>
      <c r="K5" s="297" t="s">
        <v>746</v>
      </c>
    </row>
    <row r="6" spans="1:11" ht="16">
      <c r="A6" s="497" t="s">
        <v>1505</v>
      </c>
      <c r="B6" s="497" t="s">
        <v>1132</v>
      </c>
      <c r="C6" s="497" t="s">
        <v>520</v>
      </c>
      <c r="E6" s="506">
        <v>365830.69</v>
      </c>
      <c r="J6" s="434" t="s">
        <v>1318</v>
      </c>
      <c r="K6" s="299"/>
    </row>
    <row r="7" spans="1:11" ht="16">
      <c r="A7" s="497" t="s">
        <v>1507</v>
      </c>
      <c r="B7" s="497" t="s">
        <v>1313</v>
      </c>
      <c r="C7" s="497" t="s">
        <v>1419</v>
      </c>
      <c r="E7" s="506">
        <v>936.9</v>
      </c>
      <c r="J7" s="434" t="s">
        <v>1426</v>
      </c>
      <c r="K7" s="299"/>
    </row>
    <row r="8" spans="1:11" s="64" customFormat="1" ht="16">
      <c r="A8" s="515" t="s">
        <v>1314</v>
      </c>
      <c r="B8" s="515" t="s">
        <v>1269</v>
      </c>
      <c r="C8" s="515" t="s">
        <v>87</v>
      </c>
      <c r="D8" s="516"/>
      <c r="E8" s="516">
        <v>366767.59</v>
      </c>
      <c r="F8" s="517"/>
      <c r="G8" s="517"/>
      <c r="H8" s="517"/>
      <c r="I8" s="517">
        <f>E8</f>
        <v>366767.59</v>
      </c>
      <c r="J8" s="436"/>
      <c r="K8" s="431"/>
    </row>
    <row r="9" spans="1:11" s="537" customFormat="1" ht="16">
      <c r="A9" s="532" t="s">
        <v>1270</v>
      </c>
      <c r="B9" s="532" t="s">
        <v>1559</v>
      </c>
      <c r="C9" s="533" t="s">
        <v>355</v>
      </c>
      <c r="D9" s="534">
        <v>201233.72</v>
      </c>
      <c r="E9" s="534"/>
      <c r="F9" s="535"/>
      <c r="G9" s="535"/>
      <c r="H9" s="535"/>
      <c r="I9" s="535">
        <f>-D9</f>
        <v>-201233.72</v>
      </c>
      <c r="J9" s="533" t="s">
        <v>1160</v>
      </c>
      <c r="K9" s="536"/>
    </row>
    <row r="10" spans="1:11" ht="16">
      <c r="A10" s="497" t="s">
        <v>1522</v>
      </c>
      <c r="B10" s="497" t="s">
        <v>1523</v>
      </c>
      <c r="C10" s="497" t="s">
        <v>354</v>
      </c>
      <c r="E10" s="506">
        <v>93028.22</v>
      </c>
      <c r="J10" s="434" t="s">
        <v>772</v>
      </c>
      <c r="K10" s="299"/>
    </row>
    <row r="11" spans="1:11" s="64" customFormat="1" ht="16">
      <c r="A11" s="515" t="s">
        <v>1342</v>
      </c>
      <c r="B11" s="515" t="s">
        <v>1343</v>
      </c>
      <c r="C11" s="515" t="s">
        <v>165</v>
      </c>
      <c r="D11" s="516"/>
      <c r="E11" s="516">
        <v>93028.22</v>
      </c>
      <c r="F11" s="517"/>
      <c r="G11" s="517"/>
      <c r="H11" s="517">
        <f>E11</f>
        <v>93028.22</v>
      </c>
      <c r="I11" s="517"/>
      <c r="J11" s="526" t="s">
        <v>166</v>
      </c>
      <c r="K11" s="431"/>
    </row>
    <row r="12" spans="1:11" ht="16">
      <c r="A12" s="500" t="s">
        <v>1344</v>
      </c>
      <c r="B12" s="500" t="s">
        <v>989</v>
      </c>
      <c r="C12" s="500" t="s">
        <v>167</v>
      </c>
      <c r="D12" s="507">
        <v>201233.72</v>
      </c>
      <c r="E12" s="507">
        <v>459795.81</v>
      </c>
      <c r="F12" s="512">
        <f>E12-D12</f>
        <v>258562.09</v>
      </c>
      <c r="G12" s="512"/>
      <c r="H12" s="512"/>
      <c r="I12" s="512"/>
      <c r="J12" s="434" t="s">
        <v>1067</v>
      </c>
      <c r="K12" s="299"/>
    </row>
    <row r="13" spans="1:11" ht="16">
      <c r="A13" s="497" t="s">
        <v>990</v>
      </c>
      <c r="B13" s="497" t="s">
        <v>991</v>
      </c>
      <c r="C13" s="497" t="s">
        <v>168</v>
      </c>
      <c r="D13" s="506">
        <v>10766.71</v>
      </c>
      <c r="J13" s="434"/>
      <c r="K13" s="299"/>
    </row>
    <row r="14" spans="1:11" s="64" customFormat="1" ht="16">
      <c r="A14" s="515" t="s">
        <v>992</v>
      </c>
      <c r="B14" s="515" t="s">
        <v>854</v>
      </c>
      <c r="C14" s="515" t="s">
        <v>559</v>
      </c>
      <c r="D14" s="516">
        <v>10766.71</v>
      </c>
      <c r="E14" s="516"/>
      <c r="F14" s="517"/>
      <c r="G14" s="517">
        <f>D14</f>
        <v>10766.71</v>
      </c>
      <c r="H14" s="517"/>
      <c r="I14" s="517"/>
      <c r="J14" s="436"/>
      <c r="K14" s="431"/>
    </row>
    <row r="15" spans="1:11" ht="16">
      <c r="A15" s="497" t="s">
        <v>855</v>
      </c>
      <c r="B15" s="497" t="s">
        <v>1310</v>
      </c>
      <c r="C15" s="497" t="s">
        <v>569</v>
      </c>
      <c r="D15" s="506">
        <v>202853.55</v>
      </c>
      <c r="J15" s="497" t="s">
        <v>149</v>
      </c>
      <c r="K15" s="299"/>
    </row>
    <row r="16" spans="1:11" ht="16">
      <c r="A16" s="497" t="s">
        <v>1311</v>
      </c>
      <c r="B16" s="497" t="s">
        <v>1153</v>
      </c>
      <c r="C16" s="497" t="s">
        <v>403</v>
      </c>
      <c r="D16" s="506">
        <v>108397.81</v>
      </c>
      <c r="J16" s="497" t="s">
        <v>149</v>
      </c>
      <c r="K16" s="299"/>
    </row>
    <row r="17" spans="1:11" ht="16">
      <c r="A17" s="497" t="s">
        <v>1154</v>
      </c>
      <c r="B17" s="497" t="s">
        <v>60</v>
      </c>
      <c r="C17" s="497" t="s">
        <v>271</v>
      </c>
      <c r="D17" s="506">
        <v>67947.73</v>
      </c>
      <c r="J17" s="497" t="s">
        <v>149</v>
      </c>
      <c r="K17" s="299" t="s">
        <v>1148</v>
      </c>
    </row>
    <row r="18" spans="1:11" ht="16">
      <c r="A18" s="497" t="s">
        <v>313</v>
      </c>
      <c r="B18" s="497" t="s">
        <v>783</v>
      </c>
      <c r="C18" s="497" t="s">
        <v>775</v>
      </c>
      <c r="D18" s="506">
        <v>31966</v>
      </c>
      <c r="J18" s="497" t="s">
        <v>149</v>
      </c>
      <c r="K18" s="299"/>
    </row>
    <row r="19" spans="1:11" ht="16">
      <c r="A19" s="497" t="s">
        <v>784</v>
      </c>
      <c r="B19" s="497" t="s">
        <v>1525</v>
      </c>
      <c r="C19" s="434" t="s">
        <v>1097</v>
      </c>
      <c r="D19" s="506">
        <v>472.59</v>
      </c>
      <c r="J19" s="434"/>
      <c r="K19" s="299"/>
    </row>
    <row r="20" spans="1:11" ht="16">
      <c r="A20" s="497" t="s">
        <v>1323</v>
      </c>
      <c r="B20" s="497" t="s">
        <v>940</v>
      </c>
      <c r="C20" s="497" t="s">
        <v>1223</v>
      </c>
      <c r="D20" s="506">
        <v>411637.68</v>
      </c>
      <c r="J20" s="434"/>
      <c r="K20" s="299"/>
    </row>
    <row r="21" spans="1:11" ht="16">
      <c r="A21" s="497" t="s">
        <v>858</v>
      </c>
      <c r="B21" s="497" t="s">
        <v>686</v>
      </c>
      <c r="C21" s="497" t="s">
        <v>1213</v>
      </c>
      <c r="D21" s="506">
        <v>12797.19</v>
      </c>
      <c r="J21" s="434" t="s">
        <v>88</v>
      </c>
      <c r="K21" s="299"/>
    </row>
    <row r="22" spans="1:11" ht="16">
      <c r="A22" s="497" t="s">
        <v>687</v>
      </c>
      <c r="B22" s="497" t="s">
        <v>688</v>
      </c>
      <c r="C22" s="497" t="s">
        <v>1208</v>
      </c>
      <c r="D22" s="506">
        <v>23616.76</v>
      </c>
      <c r="J22" s="497" t="s">
        <v>1208</v>
      </c>
      <c r="K22" s="299"/>
    </row>
    <row r="23" spans="1:11" ht="16">
      <c r="A23" s="497" t="s">
        <v>998</v>
      </c>
      <c r="B23" s="497" t="s">
        <v>1261</v>
      </c>
      <c r="C23" s="434" t="s">
        <v>1108</v>
      </c>
      <c r="D23" s="506">
        <v>12777.55</v>
      </c>
      <c r="J23" s="434" t="s">
        <v>1108</v>
      </c>
      <c r="K23" s="299"/>
    </row>
    <row r="24" spans="1:11" ht="16">
      <c r="A24" s="497" t="s">
        <v>999</v>
      </c>
      <c r="B24" s="497" t="s">
        <v>1166</v>
      </c>
      <c r="C24" s="434" t="s">
        <v>1183</v>
      </c>
      <c r="D24" s="506">
        <v>614.04</v>
      </c>
      <c r="J24" s="434"/>
      <c r="K24" s="299"/>
    </row>
    <row r="25" spans="1:11" ht="16">
      <c r="A25" s="497" t="s">
        <v>1167</v>
      </c>
      <c r="B25" s="497" t="s">
        <v>1000</v>
      </c>
      <c r="C25" s="513" t="s">
        <v>1425</v>
      </c>
      <c r="D25" s="508">
        <v>49805.54</v>
      </c>
      <c r="J25" s="434" t="s">
        <v>1396</v>
      </c>
      <c r="K25" s="299"/>
    </row>
    <row r="26" spans="1:11" s="64" customFormat="1" ht="16">
      <c r="A26" s="518" t="s">
        <v>1001</v>
      </c>
      <c r="B26" s="518" t="s">
        <v>169</v>
      </c>
      <c r="C26" s="519" t="s">
        <v>1614</v>
      </c>
      <c r="D26" s="520">
        <v>461443.22</v>
      </c>
      <c r="E26" s="520"/>
      <c r="F26" s="521"/>
      <c r="G26" s="517">
        <f>D26</f>
        <v>461443.22</v>
      </c>
      <c r="H26" s="521"/>
      <c r="I26" s="521"/>
      <c r="J26" s="519" t="s">
        <v>1109</v>
      </c>
      <c r="K26" s="523"/>
    </row>
    <row r="27" spans="1:11" ht="16">
      <c r="A27" s="497" t="s">
        <v>513</v>
      </c>
      <c r="B27" s="497" t="s">
        <v>1502</v>
      </c>
      <c r="C27" s="434" t="s">
        <v>1112</v>
      </c>
      <c r="D27" s="506">
        <v>4539.93</v>
      </c>
      <c r="J27" s="434" t="s">
        <v>1113</v>
      </c>
      <c r="K27" s="299"/>
    </row>
    <row r="28" spans="1:11" s="64" customFormat="1" ht="16">
      <c r="A28" s="518" t="s">
        <v>1594</v>
      </c>
      <c r="B28" s="518" t="s">
        <v>1464</v>
      </c>
      <c r="C28" s="519" t="s">
        <v>1115</v>
      </c>
      <c r="D28" s="520">
        <v>4539.93</v>
      </c>
      <c r="E28" s="520"/>
      <c r="F28" s="521"/>
      <c r="G28" s="517">
        <f>D28</f>
        <v>4539.93</v>
      </c>
      <c r="H28" s="521"/>
      <c r="I28" s="521"/>
      <c r="J28" s="522"/>
      <c r="K28" s="523"/>
    </row>
    <row r="29" spans="1:11" ht="16">
      <c r="A29" s="497" t="s">
        <v>696</v>
      </c>
      <c r="B29" s="497" t="s">
        <v>1219</v>
      </c>
      <c r="C29" s="497" t="s">
        <v>1494</v>
      </c>
      <c r="E29" s="506">
        <v>2138.1</v>
      </c>
      <c r="J29" s="434"/>
      <c r="K29" s="299"/>
    </row>
    <row r="30" spans="1:11" ht="16">
      <c r="A30" s="497" t="s">
        <v>522</v>
      </c>
      <c r="B30" s="497" t="s">
        <v>910</v>
      </c>
      <c r="C30" s="497" t="s">
        <v>889</v>
      </c>
      <c r="E30" s="506">
        <v>2138.1</v>
      </c>
      <c r="K30" s="299"/>
    </row>
    <row r="31" spans="1:11" ht="16">
      <c r="A31" s="497" t="s">
        <v>698</v>
      </c>
      <c r="B31" s="497" t="s">
        <v>244</v>
      </c>
      <c r="C31" s="497" t="s">
        <v>1053</v>
      </c>
      <c r="E31" s="506">
        <v>159869.54</v>
      </c>
      <c r="K31" s="299"/>
    </row>
    <row r="32" spans="1:11" ht="16">
      <c r="A32" s="497" t="s">
        <v>526</v>
      </c>
      <c r="B32" s="497" t="s">
        <v>46</v>
      </c>
      <c r="C32" s="497" t="s">
        <v>122</v>
      </c>
      <c r="E32" s="506">
        <v>10338.66</v>
      </c>
      <c r="J32" s="434"/>
      <c r="K32" s="299"/>
    </row>
    <row r="33" spans="1:11" ht="16">
      <c r="A33" s="497" t="s">
        <v>1334</v>
      </c>
      <c r="B33" s="497" t="s">
        <v>428</v>
      </c>
      <c r="C33" s="497" t="s">
        <v>1363</v>
      </c>
      <c r="E33" s="506">
        <v>9037.11</v>
      </c>
      <c r="J33" s="434" t="s">
        <v>592</v>
      </c>
      <c r="K33" s="299"/>
    </row>
    <row r="34" spans="1:11" ht="16">
      <c r="A34" s="497" t="s">
        <v>1591</v>
      </c>
      <c r="B34" s="497" t="s">
        <v>314</v>
      </c>
      <c r="C34" s="497" t="s">
        <v>1583</v>
      </c>
      <c r="E34" s="506">
        <v>3173.33</v>
      </c>
      <c r="J34" s="434" t="s">
        <v>593</v>
      </c>
      <c r="K34" s="299"/>
    </row>
    <row r="35" spans="1:11" ht="16">
      <c r="A35" s="497" t="s">
        <v>1593</v>
      </c>
      <c r="B35" s="497" t="s">
        <v>1080</v>
      </c>
      <c r="C35" s="497" t="s">
        <v>1596</v>
      </c>
      <c r="E35" s="506">
        <v>59.07</v>
      </c>
      <c r="J35" s="434"/>
      <c r="K35" s="299"/>
    </row>
    <row r="36" spans="1:11" ht="16">
      <c r="A36" s="497" t="s">
        <v>1445</v>
      </c>
      <c r="B36" s="497" t="s">
        <v>661</v>
      </c>
      <c r="C36" s="497" t="s">
        <v>662</v>
      </c>
      <c r="E36" s="506">
        <v>987.11</v>
      </c>
      <c r="J36" s="434" t="s">
        <v>473</v>
      </c>
      <c r="K36" s="299"/>
    </row>
    <row r="37" spans="1:11" ht="16">
      <c r="A37" s="497" t="s">
        <v>1273</v>
      </c>
      <c r="B37" s="497" t="s">
        <v>664</v>
      </c>
      <c r="C37" s="497" t="s">
        <v>1077</v>
      </c>
      <c r="E37" s="506">
        <v>9137.7900000000009</v>
      </c>
      <c r="J37" s="434"/>
      <c r="K37" s="299"/>
    </row>
    <row r="38" spans="1:11" ht="16">
      <c r="A38" s="497" t="s">
        <v>1391</v>
      </c>
      <c r="B38" s="497" t="s">
        <v>1078</v>
      </c>
      <c r="C38" s="497" t="s">
        <v>1232</v>
      </c>
      <c r="E38" s="506">
        <v>9311.73</v>
      </c>
      <c r="J38" s="434"/>
      <c r="K38" s="299"/>
    </row>
    <row r="39" spans="1:11" ht="16">
      <c r="A39" s="497" t="s">
        <v>1319</v>
      </c>
      <c r="B39" s="497" t="s">
        <v>1226</v>
      </c>
      <c r="C39" s="497" t="s">
        <v>1467</v>
      </c>
      <c r="E39" s="506">
        <v>280.75</v>
      </c>
      <c r="J39" s="434"/>
      <c r="K39" s="299"/>
    </row>
    <row r="40" spans="1:11" ht="16">
      <c r="A40" s="497" t="s">
        <v>1607</v>
      </c>
      <c r="B40" s="497" t="s">
        <v>1239</v>
      </c>
      <c r="C40" s="500" t="s">
        <v>1240</v>
      </c>
      <c r="E40" s="506">
        <v>202195.09</v>
      </c>
      <c r="J40" s="434" t="s">
        <v>1207</v>
      </c>
      <c r="K40" s="299"/>
    </row>
    <row r="41" spans="1:11" s="64" customFormat="1" ht="16">
      <c r="A41" s="515" t="s">
        <v>1404</v>
      </c>
      <c r="B41" s="515" t="s">
        <v>912</v>
      </c>
      <c r="C41" s="436" t="s">
        <v>804</v>
      </c>
      <c r="D41" s="516"/>
      <c r="E41" s="516">
        <v>204333.19</v>
      </c>
      <c r="F41" s="517"/>
      <c r="G41" s="517">
        <f>-E41</f>
        <v>-204333.19</v>
      </c>
      <c r="H41" s="517"/>
      <c r="I41" s="517"/>
      <c r="J41" s="436" t="s">
        <v>473</v>
      </c>
    </row>
    <row r="42" spans="1:11">
      <c r="A42" s="500" t="s">
        <v>1406</v>
      </c>
      <c r="B42" s="500" t="s">
        <v>1407</v>
      </c>
      <c r="C42" s="500" t="s">
        <v>768</v>
      </c>
      <c r="D42" s="507">
        <v>476749.86</v>
      </c>
      <c r="E42" s="507">
        <v>204333.19</v>
      </c>
      <c r="F42" s="512">
        <f>E42-D42</f>
        <v>-272416.67</v>
      </c>
      <c r="G42" s="512"/>
      <c r="H42" s="512"/>
      <c r="I42" s="512"/>
      <c r="J42" s="500"/>
      <c r="K42" s="504"/>
    </row>
    <row r="43" spans="1:11" ht="16">
      <c r="A43" s="497" t="s">
        <v>1408</v>
      </c>
      <c r="B43" s="497" t="s">
        <v>1242</v>
      </c>
      <c r="C43" s="434" t="s">
        <v>657</v>
      </c>
      <c r="D43" s="506">
        <v>11499.72</v>
      </c>
      <c r="J43" s="497"/>
    </row>
    <row r="44" spans="1:11" ht="17" thickBot="1">
      <c r="A44" s="497" t="s">
        <v>1243</v>
      </c>
      <c r="B44" s="497" t="s">
        <v>623</v>
      </c>
      <c r="C44" s="434" t="s">
        <v>1206</v>
      </c>
      <c r="D44" s="506">
        <v>1219.5899999999999</v>
      </c>
      <c r="J44" s="434" t="s">
        <v>1207</v>
      </c>
    </row>
    <row r="45" spans="1:11" s="64" customFormat="1" ht="16" thickBot="1">
      <c r="A45" s="515" t="s">
        <v>1244</v>
      </c>
      <c r="B45" s="515" t="s">
        <v>1380</v>
      </c>
      <c r="C45" s="515" t="s">
        <v>769</v>
      </c>
      <c r="D45" s="516">
        <v>12719.31</v>
      </c>
      <c r="E45" s="516"/>
      <c r="F45" s="517"/>
      <c r="G45" s="538">
        <f>D45</f>
        <v>12719.31</v>
      </c>
      <c r="H45" s="517"/>
      <c r="I45" s="517"/>
      <c r="J45" s="515"/>
    </row>
    <row r="46" spans="1:11">
      <c r="A46" s="497" t="s">
        <v>1245</v>
      </c>
      <c r="B46" s="497" t="s">
        <v>1110</v>
      </c>
      <c r="C46" s="497" t="s">
        <v>1074</v>
      </c>
      <c r="D46" s="506">
        <v>5571.34</v>
      </c>
      <c r="J46" s="497"/>
    </row>
    <row r="47" spans="1:11">
      <c r="A47" s="497" t="s">
        <v>959</v>
      </c>
      <c r="B47" s="497" t="s">
        <v>1370</v>
      </c>
      <c r="C47" s="497" t="s">
        <v>1600</v>
      </c>
      <c r="D47" s="506">
        <v>30329.39</v>
      </c>
      <c r="J47" s="497"/>
    </row>
    <row r="48" spans="1:11">
      <c r="A48" s="497" t="s">
        <v>1371</v>
      </c>
      <c r="B48" s="497" t="s">
        <v>1171</v>
      </c>
      <c r="C48" s="497" t="s">
        <v>1075</v>
      </c>
      <c r="D48" s="506">
        <v>35900.730000000003</v>
      </c>
      <c r="J48" s="497"/>
    </row>
    <row r="49" spans="1:11" ht="16" thickBot="1">
      <c r="A49" s="500" t="s">
        <v>1172</v>
      </c>
      <c r="B49" s="500" t="s">
        <v>1345</v>
      </c>
      <c r="C49" s="500" t="s">
        <v>1605</v>
      </c>
      <c r="D49" s="507">
        <v>48620.04</v>
      </c>
      <c r="E49" s="507"/>
      <c r="F49" s="512">
        <f>E49-D49</f>
        <v>-48620.04</v>
      </c>
      <c r="G49" s="511">
        <f>D49</f>
        <v>48620.04</v>
      </c>
      <c r="H49" s="512"/>
      <c r="I49" s="512"/>
      <c r="J49" s="500"/>
      <c r="K49" s="504"/>
    </row>
    <row r="50" spans="1:11" ht="16" thickBot="1">
      <c r="A50" s="497" t="s">
        <v>1346</v>
      </c>
      <c r="B50" s="497" t="s">
        <v>1347</v>
      </c>
      <c r="C50" s="497" t="s">
        <v>1072</v>
      </c>
      <c r="E50" s="525">
        <v>345636.05</v>
      </c>
      <c r="J50" s="497" t="s">
        <v>1073</v>
      </c>
    </row>
    <row r="51" spans="1:11">
      <c r="A51" s="497" t="s">
        <v>1348</v>
      </c>
      <c r="B51" s="497" t="s">
        <v>873</v>
      </c>
      <c r="C51" s="497" t="s">
        <v>1225</v>
      </c>
      <c r="E51" s="508">
        <v>2729.85</v>
      </c>
      <c r="J51" s="497" t="s">
        <v>915</v>
      </c>
    </row>
    <row r="52" spans="1:11">
      <c r="A52" s="497" t="s">
        <v>1383</v>
      </c>
      <c r="B52" s="497" t="s">
        <v>1292</v>
      </c>
      <c r="C52" s="497" t="s">
        <v>1076</v>
      </c>
      <c r="D52" s="506">
        <v>14964.6</v>
      </c>
      <c r="J52" s="497" t="s">
        <v>1086</v>
      </c>
    </row>
    <row r="53" spans="1:11">
      <c r="A53" s="497" t="s">
        <v>1293</v>
      </c>
      <c r="B53" s="497" t="s">
        <v>1140</v>
      </c>
      <c r="C53" s="497" t="s">
        <v>1227</v>
      </c>
      <c r="D53" s="506">
        <v>2286.73</v>
      </c>
      <c r="J53" s="497"/>
    </row>
    <row r="54" spans="1:11" s="64" customFormat="1">
      <c r="A54" s="515" t="s">
        <v>1141</v>
      </c>
      <c r="B54" s="515" t="s">
        <v>1275</v>
      </c>
      <c r="C54" s="515" t="s">
        <v>1062</v>
      </c>
      <c r="D54" s="524">
        <v>17251.330000000002</v>
      </c>
      <c r="E54" s="516">
        <v>348365.9</v>
      </c>
      <c r="F54" s="517"/>
      <c r="G54" s="517"/>
      <c r="H54" s="517">
        <f>E54-D54</f>
        <v>331114.57</v>
      </c>
      <c r="I54" s="517"/>
      <c r="J54" s="515" t="s">
        <v>449</v>
      </c>
    </row>
    <row r="55" spans="1:11">
      <c r="A55" s="598" t="s">
        <v>1276</v>
      </c>
      <c r="B55" s="598" t="s">
        <v>1384</v>
      </c>
      <c r="C55" s="598" t="s">
        <v>901</v>
      </c>
      <c r="D55" s="599">
        <v>354820.81</v>
      </c>
      <c r="E55" s="600"/>
      <c r="F55" s="601"/>
      <c r="G55" s="601"/>
      <c r="H55" s="601"/>
      <c r="I55" s="601"/>
      <c r="J55" s="598"/>
    </row>
    <row r="56" spans="1:11">
      <c r="A56" s="497" t="s">
        <v>1385</v>
      </c>
      <c r="B56" s="497" t="s">
        <v>1450</v>
      </c>
      <c r="C56" s="497" t="s">
        <v>796</v>
      </c>
      <c r="D56" s="508">
        <v>71811.98</v>
      </c>
      <c r="J56" s="497"/>
    </row>
    <row r="57" spans="1:11">
      <c r="A57" s="497" t="s">
        <v>1451</v>
      </c>
      <c r="B57" s="497" t="s">
        <v>430</v>
      </c>
      <c r="C57" s="497" t="s">
        <v>743</v>
      </c>
      <c r="D57" s="506">
        <v>10280.58</v>
      </c>
      <c r="J57" s="497" t="s">
        <v>1061</v>
      </c>
    </row>
    <row r="58" spans="1:11" s="64" customFormat="1">
      <c r="A58" s="594" t="s">
        <v>1452</v>
      </c>
      <c r="B58" s="594" t="s">
        <v>1625</v>
      </c>
      <c r="C58" s="594" t="s">
        <v>733</v>
      </c>
      <c r="D58" s="595">
        <v>436913.37</v>
      </c>
      <c r="E58" s="595"/>
      <c r="F58" s="596"/>
      <c r="G58" s="596">
        <f>D58</f>
        <v>436913.37</v>
      </c>
      <c r="H58" s="596"/>
      <c r="I58" s="596"/>
      <c r="J58" s="597" t="s">
        <v>89</v>
      </c>
    </row>
    <row r="59" spans="1:11">
      <c r="A59" s="497" t="s">
        <v>1124</v>
      </c>
      <c r="B59" s="497" t="s">
        <v>253</v>
      </c>
      <c r="C59" s="497" t="s">
        <v>678</v>
      </c>
      <c r="E59" s="506">
        <v>821.32</v>
      </c>
      <c r="J59" s="497"/>
    </row>
    <row r="60" spans="1:11">
      <c r="A60" s="497" t="s">
        <v>1603</v>
      </c>
      <c r="B60" s="497" t="s">
        <v>913</v>
      </c>
      <c r="C60" s="497" t="s">
        <v>632</v>
      </c>
      <c r="D60" s="506">
        <v>6456.42</v>
      </c>
      <c r="J60" s="497"/>
    </row>
    <row r="61" spans="1:11">
      <c r="A61" s="497" t="s">
        <v>914</v>
      </c>
      <c r="B61" s="497" t="s">
        <v>1070</v>
      </c>
      <c r="C61" s="497" t="s">
        <v>608</v>
      </c>
      <c r="E61" s="506">
        <v>591.65</v>
      </c>
      <c r="J61" s="497"/>
    </row>
    <row r="62" spans="1:11" s="64" customFormat="1">
      <c r="A62" s="515" t="s">
        <v>1071</v>
      </c>
      <c r="B62" s="515" t="s">
        <v>1195</v>
      </c>
      <c r="C62" s="515" t="s">
        <v>609</v>
      </c>
      <c r="D62" s="516">
        <v>6456.42</v>
      </c>
      <c r="E62" s="516">
        <v>1412.97</v>
      </c>
      <c r="F62" s="517"/>
      <c r="H62" s="517">
        <f>-(D62-E62)</f>
        <v>-5043.45</v>
      </c>
      <c r="I62" s="517"/>
      <c r="J62" s="515"/>
    </row>
    <row r="63" spans="1:11">
      <c r="A63" s="497" t="s">
        <v>1034</v>
      </c>
      <c r="B63" s="497" t="s">
        <v>1035</v>
      </c>
      <c r="C63" s="497" t="s">
        <v>1035</v>
      </c>
      <c r="E63" s="506">
        <v>13734.78</v>
      </c>
      <c r="J63" s="497"/>
    </row>
    <row r="64" spans="1:11">
      <c r="A64" s="497" t="s">
        <v>1036</v>
      </c>
      <c r="B64" s="497" t="s">
        <v>549</v>
      </c>
      <c r="C64" s="497" t="s">
        <v>701</v>
      </c>
      <c r="D64" s="506">
        <v>32.93</v>
      </c>
      <c r="J64" s="497" t="s">
        <v>731</v>
      </c>
    </row>
    <row r="65" spans="1:10">
      <c r="A65" s="497" t="s">
        <v>550</v>
      </c>
      <c r="B65" s="497" t="s">
        <v>187</v>
      </c>
      <c r="C65" s="497" t="s">
        <v>645</v>
      </c>
      <c r="E65" s="506">
        <v>719.58</v>
      </c>
      <c r="J65" s="497"/>
    </row>
    <row r="66" spans="1:10">
      <c r="A66" s="497" t="s">
        <v>188</v>
      </c>
      <c r="B66" s="497" t="s">
        <v>189</v>
      </c>
      <c r="C66" s="497" t="s">
        <v>189</v>
      </c>
      <c r="E66" s="506">
        <v>2671.68</v>
      </c>
      <c r="J66" s="497"/>
    </row>
    <row r="67" spans="1:10">
      <c r="A67" s="497" t="s">
        <v>190</v>
      </c>
      <c r="B67" s="497" t="s">
        <v>191</v>
      </c>
      <c r="C67" s="497" t="s">
        <v>191</v>
      </c>
      <c r="E67" s="506">
        <v>1579.09</v>
      </c>
      <c r="J67" s="497"/>
    </row>
    <row r="68" spans="1:10">
      <c r="A68" s="497" t="s">
        <v>192</v>
      </c>
      <c r="B68" s="497" t="s">
        <v>193</v>
      </c>
      <c r="C68" s="497" t="s">
        <v>193</v>
      </c>
      <c r="E68" s="506">
        <v>3003.1</v>
      </c>
      <c r="J68" s="497"/>
    </row>
    <row r="69" spans="1:10">
      <c r="A69" s="497" t="s">
        <v>194</v>
      </c>
      <c r="B69" s="497" t="s">
        <v>195</v>
      </c>
      <c r="C69" s="497" t="s">
        <v>646</v>
      </c>
      <c r="D69" s="506">
        <v>370.14</v>
      </c>
      <c r="J69" s="497"/>
    </row>
    <row r="70" spans="1:10" s="64" customFormat="1">
      <c r="A70" s="515" t="s">
        <v>196</v>
      </c>
      <c r="B70" s="515" t="s">
        <v>202</v>
      </c>
      <c r="C70" s="515" t="s">
        <v>702</v>
      </c>
      <c r="D70" s="516">
        <v>403.07</v>
      </c>
      <c r="E70" s="516">
        <v>21708.23</v>
      </c>
      <c r="F70" s="517"/>
      <c r="G70" s="517"/>
      <c r="H70" s="517">
        <f>E70-D70</f>
        <v>21305.16</v>
      </c>
      <c r="I70" s="517"/>
      <c r="J70" s="515"/>
    </row>
    <row r="71" spans="1:10">
      <c r="A71" s="497" t="s">
        <v>203</v>
      </c>
      <c r="B71" s="497" t="s">
        <v>79</v>
      </c>
      <c r="C71" s="497" t="s">
        <v>703</v>
      </c>
      <c r="D71" s="506">
        <v>3811.23</v>
      </c>
      <c r="J71" s="497"/>
    </row>
    <row r="72" spans="1:10">
      <c r="A72" s="497" t="s">
        <v>80</v>
      </c>
      <c r="B72" s="497" t="s">
        <v>99</v>
      </c>
      <c r="C72" s="497" t="s">
        <v>704</v>
      </c>
      <c r="J72" s="497"/>
    </row>
    <row r="73" spans="1:10">
      <c r="A73" s="497" t="s">
        <v>100</v>
      </c>
      <c r="B73" s="497" t="s">
        <v>633</v>
      </c>
      <c r="C73" s="497" t="s">
        <v>633</v>
      </c>
      <c r="D73" s="506">
        <v>1528.94</v>
      </c>
      <c r="J73" s="497"/>
    </row>
    <row r="74" spans="1:10">
      <c r="A74" s="497" t="s">
        <v>463</v>
      </c>
      <c r="B74" s="497" t="s">
        <v>644</v>
      </c>
      <c r="C74" s="497" t="s">
        <v>644</v>
      </c>
      <c r="D74" s="506">
        <v>13.66</v>
      </c>
      <c r="J74" s="497"/>
    </row>
    <row r="75" spans="1:10">
      <c r="A75" s="497" t="s">
        <v>462</v>
      </c>
      <c r="B75" s="497" t="s">
        <v>295</v>
      </c>
      <c r="C75" s="497" t="s">
        <v>295</v>
      </c>
      <c r="J75" s="497"/>
    </row>
    <row r="76" spans="1:10">
      <c r="A76" s="497" t="s">
        <v>296</v>
      </c>
      <c r="B76" s="497" t="s">
        <v>290</v>
      </c>
      <c r="C76" s="497" t="s">
        <v>290</v>
      </c>
      <c r="D76" s="506">
        <v>507.32</v>
      </c>
      <c r="J76" s="497"/>
    </row>
    <row r="77" spans="1:10">
      <c r="A77" s="497" t="s">
        <v>291</v>
      </c>
      <c r="B77" s="497" t="s">
        <v>292</v>
      </c>
      <c r="C77" s="497" t="s">
        <v>292</v>
      </c>
      <c r="D77" s="506">
        <v>535.04999999999995</v>
      </c>
      <c r="J77" s="497"/>
    </row>
    <row r="78" spans="1:10">
      <c r="A78" s="497" t="s">
        <v>293</v>
      </c>
      <c r="B78" s="497" t="s">
        <v>294</v>
      </c>
      <c r="C78" s="497" t="s">
        <v>294</v>
      </c>
      <c r="E78" s="506">
        <v>425.8</v>
      </c>
      <c r="J78" s="497"/>
    </row>
    <row r="79" spans="1:10">
      <c r="A79" s="497" t="s">
        <v>491</v>
      </c>
      <c r="B79" s="497" t="s">
        <v>492</v>
      </c>
      <c r="C79" s="497" t="s">
        <v>300</v>
      </c>
      <c r="E79" s="506">
        <v>592.72</v>
      </c>
    </row>
    <row r="80" spans="1:10">
      <c r="A80" s="497" t="s">
        <v>493</v>
      </c>
      <c r="B80" s="497" t="s">
        <v>398</v>
      </c>
      <c r="C80" s="497" t="s">
        <v>33</v>
      </c>
      <c r="E80" s="506">
        <v>9689.81</v>
      </c>
    </row>
    <row r="81" spans="1:10">
      <c r="A81" s="497" t="s">
        <v>399</v>
      </c>
      <c r="B81" s="497" t="s">
        <v>400</v>
      </c>
      <c r="C81" s="497" t="s">
        <v>402</v>
      </c>
      <c r="E81" s="506">
        <v>22008.080000000002</v>
      </c>
    </row>
    <row r="82" spans="1:10">
      <c r="A82" s="497" t="s">
        <v>287</v>
      </c>
      <c r="B82" s="497" t="s">
        <v>288</v>
      </c>
      <c r="C82" s="497" t="s">
        <v>500</v>
      </c>
      <c r="E82" s="506">
        <v>535.04999999999995</v>
      </c>
    </row>
    <row r="83" spans="1:10" s="64" customFormat="1">
      <c r="A83" s="515" t="s">
        <v>289</v>
      </c>
      <c r="B83" s="515" t="s">
        <v>827</v>
      </c>
      <c r="C83" s="515" t="s">
        <v>501</v>
      </c>
      <c r="D83" s="516">
        <v>6396.2</v>
      </c>
      <c r="E83" s="516">
        <v>33251.46</v>
      </c>
      <c r="F83" s="517"/>
      <c r="G83" s="517"/>
      <c r="H83" s="517">
        <f>E83-D83</f>
        <v>26855.26</v>
      </c>
      <c r="I83" s="517"/>
      <c r="J83" s="526"/>
    </row>
    <row r="84" spans="1:10">
      <c r="A84" s="497" t="s">
        <v>537</v>
      </c>
      <c r="B84" s="497" t="s">
        <v>360</v>
      </c>
      <c r="C84" s="497" t="s">
        <v>502</v>
      </c>
      <c r="D84" s="506">
        <v>3630.24</v>
      </c>
    </row>
    <row r="85" spans="1:10">
      <c r="A85" s="497" t="s">
        <v>567</v>
      </c>
      <c r="B85" s="497" t="s">
        <v>568</v>
      </c>
      <c r="C85" s="497" t="s">
        <v>395</v>
      </c>
      <c r="D85" s="506">
        <v>866.75</v>
      </c>
    </row>
    <row r="86" spans="1:10" s="64" customFormat="1">
      <c r="A86" s="515" t="s">
        <v>531</v>
      </c>
      <c r="B86" s="515" t="s">
        <v>532</v>
      </c>
      <c r="C86" s="515" t="s">
        <v>396</v>
      </c>
      <c r="D86" s="516">
        <v>4496.99</v>
      </c>
      <c r="E86" s="516"/>
      <c r="F86" s="517"/>
      <c r="G86" s="517">
        <f>D86</f>
        <v>4496.99</v>
      </c>
      <c r="H86" s="517"/>
      <c r="I86" s="517"/>
      <c r="J86" s="526"/>
    </row>
    <row r="87" spans="1:10">
      <c r="A87" s="497" t="s">
        <v>362</v>
      </c>
      <c r="B87" s="497" t="s">
        <v>426</v>
      </c>
      <c r="C87" s="497" t="s">
        <v>412</v>
      </c>
      <c r="E87" s="506">
        <v>4.13</v>
      </c>
    </row>
    <row r="88" spans="1:10" s="64" customFormat="1">
      <c r="A88" s="515" t="s">
        <v>427</v>
      </c>
      <c r="B88" s="515" t="s">
        <v>602</v>
      </c>
      <c r="C88" s="515" t="s">
        <v>516</v>
      </c>
      <c r="D88" s="516"/>
      <c r="E88" s="516">
        <v>4.13</v>
      </c>
      <c r="F88" s="517"/>
      <c r="G88" s="517"/>
      <c r="H88" s="517">
        <f>E88</f>
        <v>4.13</v>
      </c>
      <c r="I88" s="517"/>
      <c r="J88" s="526"/>
    </row>
    <row r="89" spans="1:10">
      <c r="A89" s="497" t="s">
        <v>603</v>
      </c>
      <c r="B89" s="497" t="s">
        <v>106</v>
      </c>
      <c r="C89" s="497" t="s">
        <v>517</v>
      </c>
      <c r="D89" s="506">
        <v>3934.84</v>
      </c>
    </row>
    <row r="90" spans="1:10">
      <c r="A90" s="497" t="s">
        <v>558</v>
      </c>
      <c r="B90" s="497" t="s">
        <v>83</v>
      </c>
      <c r="C90" s="497" t="s">
        <v>349</v>
      </c>
      <c r="D90" s="506">
        <v>1534.02</v>
      </c>
    </row>
    <row r="91" spans="1:10" ht="16" thickBot="1">
      <c r="A91" s="497" t="s">
        <v>84</v>
      </c>
      <c r="B91" s="497" t="s">
        <v>85</v>
      </c>
      <c r="C91" s="497" t="s">
        <v>16</v>
      </c>
      <c r="D91" s="506">
        <v>2895.28</v>
      </c>
    </row>
    <row r="92" spans="1:10" ht="16" thickBot="1">
      <c r="A92" s="497" t="s">
        <v>86</v>
      </c>
      <c r="B92" s="497" t="s">
        <v>32</v>
      </c>
      <c r="C92" s="497" t="s">
        <v>518</v>
      </c>
      <c r="E92" s="525">
        <v>47803.8</v>
      </c>
      <c r="G92" s="511">
        <f>-E92</f>
        <v>-47803.8</v>
      </c>
    </row>
    <row r="93" spans="1:10">
      <c r="A93" s="497" t="s">
        <v>499</v>
      </c>
      <c r="B93" s="497" t="s">
        <v>748</v>
      </c>
      <c r="C93" s="497" t="s">
        <v>519</v>
      </c>
      <c r="D93" s="506">
        <v>83.22</v>
      </c>
    </row>
    <row r="94" spans="1:10">
      <c r="A94" s="497" t="s">
        <v>749</v>
      </c>
      <c r="B94" s="497" t="s">
        <v>750</v>
      </c>
      <c r="C94" s="497" t="s">
        <v>560</v>
      </c>
      <c r="D94" s="506">
        <v>41.89</v>
      </c>
    </row>
    <row r="95" spans="1:10">
      <c r="A95" s="497" t="s">
        <v>751</v>
      </c>
      <c r="B95" s="497" t="s">
        <v>391</v>
      </c>
      <c r="C95" s="497" t="s">
        <v>561</v>
      </c>
      <c r="D95" s="506">
        <v>131.47</v>
      </c>
    </row>
    <row r="96" spans="1:10">
      <c r="A96" s="497" t="s">
        <v>392</v>
      </c>
      <c r="B96" s="497" t="s">
        <v>393</v>
      </c>
      <c r="C96" s="503" t="s">
        <v>622</v>
      </c>
      <c r="E96" s="506">
        <v>12005.35</v>
      </c>
      <c r="H96" s="511">
        <f>E96</f>
        <v>12005.35</v>
      </c>
    </row>
    <row r="97" spans="1:11" s="64" customFormat="1">
      <c r="A97" s="515" t="s">
        <v>394</v>
      </c>
      <c r="B97" s="515" t="s">
        <v>1320</v>
      </c>
      <c r="C97" s="515" t="s">
        <v>600</v>
      </c>
      <c r="D97" s="516">
        <v>8620.7199999999993</v>
      </c>
      <c r="E97" s="516">
        <v>59809.15</v>
      </c>
      <c r="F97" s="517"/>
      <c r="G97" s="517">
        <f>D97</f>
        <v>8620.7199999999993</v>
      </c>
      <c r="H97" s="517"/>
      <c r="I97" s="517"/>
      <c r="J97" s="526"/>
    </row>
    <row r="98" spans="1:11">
      <c r="A98" s="497" t="s">
        <v>1008</v>
      </c>
      <c r="B98" s="497" t="s">
        <v>1312</v>
      </c>
      <c r="C98" s="497" t="s">
        <v>803</v>
      </c>
      <c r="E98" s="506">
        <v>10025.280000000001</v>
      </c>
    </row>
    <row r="99" spans="1:11" s="64" customFormat="1">
      <c r="A99" s="515" t="s">
        <v>752</v>
      </c>
      <c r="B99" s="515" t="s">
        <v>840</v>
      </c>
      <c r="C99" s="515" t="s">
        <v>599</v>
      </c>
      <c r="D99" s="516"/>
      <c r="E99" s="516">
        <v>10025.280000000001</v>
      </c>
      <c r="F99" s="517"/>
      <c r="G99" s="517">
        <f>-E99</f>
        <v>-10025.280000000001</v>
      </c>
      <c r="H99" s="517"/>
      <c r="I99" s="517"/>
      <c r="J99" s="526"/>
    </row>
    <row r="100" spans="1:11" s="531" customFormat="1" ht="16" thickBot="1">
      <c r="A100" s="527" t="s">
        <v>841</v>
      </c>
      <c r="B100" s="527" t="s">
        <v>754</v>
      </c>
      <c r="C100" s="527" t="s">
        <v>995</v>
      </c>
      <c r="D100" s="528">
        <v>480538.1</v>
      </c>
      <c r="E100" s="528">
        <v>474577.12</v>
      </c>
      <c r="F100" s="529">
        <f>E100-D100</f>
        <v>-5960.9799999999814</v>
      </c>
      <c r="G100" s="529"/>
      <c r="H100" s="529"/>
      <c r="I100" s="529"/>
      <c r="J100" s="530"/>
      <c r="K100" s="530"/>
    </row>
    <row r="101" spans="1:11">
      <c r="A101" s="497" t="s">
        <v>1483</v>
      </c>
      <c r="B101" s="497" t="s">
        <v>1484</v>
      </c>
      <c r="C101" s="497" t="s">
        <v>1484</v>
      </c>
      <c r="D101" s="506">
        <v>22646.76</v>
      </c>
    </row>
    <row r="102" spans="1:11">
      <c r="A102" s="497" t="s">
        <v>1485</v>
      </c>
      <c r="B102" s="497" t="s">
        <v>1433</v>
      </c>
      <c r="C102" s="497" t="s">
        <v>1433</v>
      </c>
      <c r="D102" s="506">
        <v>11398.61</v>
      </c>
    </row>
    <row r="103" spans="1:11">
      <c r="A103" s="497" t="s">
        <v>389</v>
      </c>
      <c r="B103" s="497" t="s">
        <v>390</v>
      </c>
      <c r="C103" s="497" t="s">
        <v>390</v>
      </c>
      <c r="E103" s="506">
        <v>4262.8999999999996</v>
      </c>
      <c r="J103" s="497"/>
    </row>
    <row r="104" spans="1:11">
      <c r="A104" s="497" t="s">
        <v>931</v>
      </c>
      <c r="B104" s="497" t="s">
        <v>932</v>
      </c>
      <c r="C104" s="497" t="s">
        <v>932</v>
      </c>
      <c r="D104" s="506">
        <v>27.65</v>
      </c>
      <c r="J104" s="497"/>
    </row>
    <row r="105" spans="1:11">
      <c r="A105" s="497" t="s">
        <v>933</v>
      </c>
      <c r="B105" s="497" t="s">
        <v>945</v>
      </c>
      <c r="C105" s="497" t="s">
        <v>945</v>
      </c>
      <c r="D105" s="506">
        <v>52787.9</v>
      </c>
      <c r="J105" s="497"/>
    </row>
    <row r="106" spans="1:11">
      <c r="A106" s="497" t="s">
        <v>946</v>
      </c>
      <c r="B106" s="497" t="s">
        <v>947</v>
      </c>
      <c r="C106" s="497" t="s">
        <v>947</v>
      </c>
      <c r="D106" s="506">
        <v>43731.94</v>
      </c>
      <c r="J106" s="497"/>
    </row>
    <row r="107" spans="1:11">
      <c r="A107" s="497" t="s">
        <v>1102</v>
      </c>
      <c r="B107" s="497" t="s">
        <v>1103</v>
      </c>
      <c r="C107" s="497" t="s">
        <v>1103</v>
      </c>
      <c r="D107" s="506">
        <v>4518.53</v>
      </c>
      <c r="J107" s="497"/>
    </row>
    <row r="108" spans="1:11">
      <c r="A108" s="497" t="s">
        <v>1396</v>
      </c>
      <c r="B108" s="497" t="s">
        <v>1105</v>
      </c>
      <c r="C108" s="497" t="s">
        <v>996</v>
      </c>
      <c r="D108" s="506">
        <v>135111.39000000001</v>
      </c>
      <c r="E108" s="506">
        <v>4262.8999999999996</v>
      </c>
    </row>
    <row r="109" spans="1:11" s="64" customFormat="1">
      <c r="A109" s="515" t="s">
        <v>1106</v>
      </c>
      <c r="B109" s="515" t="s">
        <v>811</v>
      </c>
      <c r="C109" s="515" t="s">
        <v>822</v>
      </c>
      <c r="D109" s="516">
        <v>135111.39000000001</v>
      </c>
      <c r="E109" s="516">
        <v>4262.8999999999996</v>
      </c>
      <c r="F109" s="517"/>
      <c r="G109" s="517">
        <f>D109-E109</f>
        <v>130848.49000000002</v>
      </c>
      <c r="I109" s="517"/>
      <c r="J109" s="526"/>
    </row>
    <row r="110" spans="1:11">
      <c r="A110" s="497" t="s">
        <v>812</v>
      </c>
      <c r="B110" s="497" t="s">
        <v>813</v>
      </c>
      <c r="C110" s="497" t="s">
        <v>823</v>
      </c>
      <c r="D110" s="506">
        <v>105.39</v>
      </c>
    </row>
    <row r="111" spans="1:11">
      <c r="A111" s="497" t="s">
        <v>1279</v>
      </c>
      <c r="B111" s="497" t="s">
        <v>1526</v>
      </c>
      <c r="C111" s="497" t="s">
        <v>824</v>
      </c>
      <c r="D111" s="506">
        <v>90.58</v>
      </c>
    </row>
    <row r="112" spans="1:11" s="64" customFormat="1">
      <c r="A112" s="515" t="s">
        <v>1527</v>
      </c>
      <c r="B112" s="515" t="s">
        <v>1528</v>
      </c>
      <c r="C112" s="515" t="s">
        <v>825</v>
      </c>
      <c r="D112" s="516">
        <v>195.97</v>
      </c>
      <c r="E112" s="516"/>
      <c r="F112" s="517"/>
      <c r="G112" s="517">
        <f>D112</f>
        <v>195.97</v>
      </c>
      <c r="H112" s="517"/>
      <c r="I112" s="517"/>
      <c r="J112" s="526"/>
    </row>
    <row r="113" spans="1:11">
      <c r="A113" s="497" t="s">
        <v>1529</v>
      </c>
      <c r="B113" s="497" t="s">
        <v>890</v>
      </c>
      <c r="C113" s="497" t="s">
        <v>1118</v>
      </c>
    </row>
    <row r="114" spans="1:11" s="64" customFormat="1">
      <c r="A114" s="515" t="s">
        <v>891</v>
      </c>
      <c r="B114" s="515" t="s">
        <v>736</v>
      </c>
      <c r="C114" s="515" t="s">
        <v>835</v>
      </c>
      <c r="D114" s="516"/>
      <c r="E114" s="516"/>
      <c r="F114" s="517"/>
      <c r="G114" s="517"/>
      <c r="H114" s="517"/>
      <c r="I114" s="517"/>
      <c r="J114" s="526"/>
    </row>
    <row r="115" spans="1:11">
      <c r="A115" s="500" t="s">
        <v>737</v>
      </c>
      <c r="B115" s="500" t="s">
        <v>887</v>
      </c>
      <c r="C115" s="500" t="s">
        <v>836</v>
      </c>
      <c r="D115" s="507">
        <v>135307.35999999999</v>
      </c>
      <c r="E115" s="507">
        <v>4262.8999999999996</v>
      </c>
      <c r="F115" s="512">
        <f>E115-D115</f>
        <v>-131044.45999999999</v>
      </c>
      <c r="G115" s="512"/>
      <c r="H115" s="512"/>
      <c r="I115" s="512"/>
      <c r="J115" s="504"/>
      <c r="K115" s="504"/>
    </row>
    <row r="116" spans="1:11">
      <c r="A116" s="497" t="s">
        <v>888</v>
      </c>
      <c r="B116" s="497" t="s">
        <v>1054</v>
      </c>
      <c r="C116" s="497" t="s">
        <v>647</v>
      </c>
      <c r="D116" s="506">
        <v>16940.75</v>
      </c>
    </row>
    <row r="117" spans="1:11">
      <c r="A117" s="497" t="s">
        <v>1055</v>
      </c>
      <c r="B117" s="497" t="s">
        <v>1058</v>
      </c>
      <c r="C117" s="497" t="s">
        <v>648</v>
      </c>
      <c r="D117" s="506">
        <v>7155.53</v>
      </c>
    </row>
    <row r="118" spans="1:11">
      <c r="A118" s="497" t="s">
        <v>1059</v>
      </c>
      <c r="B118" s="497" t="s">
        <v>1211</v>
      </c>
      <c r="C118" s="497" t="s">
        <v>798</v>
      </c>
      <c r="D118" s="506">
        <v>3625.05</v>
      </c>
    </row>
    <row r="119" spans="1:11">
      <c r="A119" s="497" t="s">
        <v>1203</v>
      </c>
      <c r="B119" s="497" t="s">
        <v>1204</v>
      </c>
      <c r="C119" s="497" t="s">
        <v>304</v>
      </c>
      <c r="D119" s="506">
        <v>16188.34</v>
      </c>
    </row>
    <row r="120" spans="1:11">
      <c r="A120" s="497" t="s">
        <v>1056</v>
      </c>
      <c r="B120" s="497" t="s">
        <v>780</v>
      </c>
      <c r="C120" s="497" t="s">
        <v>481</v>
      </c>
      <c r="D120" s="506">
        <v>708.1</v>
      </c>
    </row>
    <row r="121" spans="1:11">
      <c r="A121" s="497" t="s">
        <v>781</v>
      </c>
      <c r="B121" s="497" t="s">
        <v>623</v>
      </c>
      <c r="C121" s="497" t="s">
        <v>1206</v>
      </c>
      <c r="D121" s="506">
        <v>1158.92</v>
      </c>
    </row>
    <row r="122" spans="1:11">
      <c r="A122" s="497" t="s">
        <v>782</v>
      </c>
      <c r="B122" s="497" t="s">
        <v>741</v>
      </c>
      <c r="C122" s="497" t="s">
        <v>136</v>
      </c>
      <c r="D122" s="506">
        <v>7207.59</v>
      </c>
    </row>
    <row r="123" spans="1:11">
      <c r="A123" s="497" t="s">
        <v>742</v>
      </c>
      <c r="B123" s="497" t="s">
        <v>830</v>
      </c>
      <c r="C123" s="497" t="s">
        <v>137</v>
      </c>
      <c r="D123" s="506">
        <v>552.29999999999995</v>
      </c>
    </row>
    <row r="124" spans="1:11">
      <c r="A124" s="497" t="s">
        <v>1278</v>
      </c>
      <c r="B124" s="497" t="s">
        <v>1324</v>
      </c>
      <c r="C124" s="497" t="s">
        <v>340</v>
      </c>
      <c r="D124" s="506">
        <v>2003.32</v>
      </c>
    </row>
    <row r="125" spans="1:11">
      <c r="A125" s="497" t="s">
        <v>1325</v>
      </c>
      <c r="B125" s="497" t="s">
        <v>1326</v>
      </c>
      <c r="C125" s="497" t="s">
        <v>435</v>
      </c>
      <c r="D125" s="506">
        <v>1499.84</v>
      </c>
    </row>
    <row r="126" spans="1:11">
      <c r="A126" s="497" t="s">
        <v>1332</v>
      </c>
      <c r="B126" s="497" t="s">
        <v>665</v>
      </c>
      <c r="C126" s="503" t="s">
        <v>436</v>
      </c>
      <c r="D126" s="506">
        <v>26532.17</v>
      </c>
      <c r="J126" s="503" t="s">
        <v>438</v>
      </c>
    </row>
    <row r="127" spans="1:11">
      <c r="A127" s="497" t="s">
        <v>666</v>
      </c>
      <c r="B127" s="497" t="s">
        <v>255</v>
      </c>
      <c r="C127" s="497" t="s">
        <v>444</v>
      </c>
      <c r="D127" s="506">
        <v>7335.09</v>
      </c>
    </row>
    <row r="128" spans="1:11">
      <c r="A128" s="497" t="s">
        <v>256</v>
      </c>
      <c r="B128" s="497" t="s">
        <v>257</v>
      </c>
      <c r="C128" s="497" t="s">
        <v>445</v>
      </c>
      <c r="D128" s="506">
        <v>2463.36</v>
      </c>
    </row>
    <row r="129" spans="1:10">
      <c r="A129" s="497" t="s">
        <v>258</v>
      </c>
      <c r="B129" s="497" t="s">
        <v>259</v>
      </c>
      <c r="C129" s="497" t="s">
        <v>446</v>
      </c>
      <c r="D129" s="506">
        <v>19625.84</v>
      </c>
    </row>
    <row r="130" spans="1:10">
      <c r="A130" s="497" t="s">
        <v>260</v>
      </c>
      <c r="B130" s="497" t="s">
        <v>261</v>
      </c>
      <c r="C130" s="497" t="s">
        <v>439</v>
      </c>
      <c r="D130" s="506">
        <v>198713.8</v>
      </c>
    </row>
    <row r="131" spans="1:10">
      <c r="A131" s="497" t="s">
        <v>123</v>
      </c>
      <c r="B131" s="497" t="s">
        <v>124</v>
      </c>
      <c r="C131" s="497" t="s">
        <v>440</v>
      </c>
      <c r="D131" s="506">
        <v>75.7</v>
      </c>
    </row>
    <row r="132" spans="1:10" s="64" customFormat="1">
      <c r="A132" s="515" t="s">
        <v>125</v>
      </c>
      <c r="B132" s="515" t="s">
        <v>126</v>
      </c>
      <c r="C132" s="515" t="s">
        <v>441</v>
      </c>
      <c r="D132" s="516">
        <v>311785.7</v>
      </c>
      <c r="E132" s="516"/>
      <c r="F132" s="517"/>
      <c r="G132" s="517"/>
      <c r="H132" s="517"/>
      <c r="I132" s="517"/>
      <c r="J132" s="526"/>
    </row>
    <row r="133" spans="1:10">
      <c r="A133" s="497" t="s">
        <v>127</v>
      </c>
      <c r="B133" s="497" t="s">
        <v>1027</v>
      </c>
      <c r="C133" s="497" t="s">
        <v>442</v>
      </c>
      <c r="D133" s="506">
        <v>5304.77</v>
      </c>
    </row>
    <row r="134" spans="1:10">
      <c r="A134" s="497" t="s">
        <v>508</v>
      </c>
      <c r="B134" s="497" t="s">
        <v>348</v>
      </c>
      <c r="C134" s="497" t="s">
        <v>262</v>
      </c>
      <c r="D134" s="506">
        <v>669.8</v>
      </c>
    </row>
    <row r="135" spans="1:10">
      <c r="A135" s="497" t="s">
        <v>153</v>
      </c>
      <c r="B135" s="497" t="s">
        <v>134</v>
      </c>
      <c r="C135" s="497" t="s">
        <v>263</v>
      </c>
      <c r="D135" s="506">
        <v>14783.89</v>
      </c>
    </row>
    <row r="136" spans="1:10">
      <c r="A136" s="497" t="s">
        <v>135</v>
      </c>
      <c r="B136" s="497" t="s">
        <v>329</v>
      </c>
      <c r="C136" s="497" t="s">
        <v>616</v>
      </c>
      <c r="D136" s="506">
        <v>16831.939999999999</v>
      </c>
      <c r="J136" s="503" t="s">
        <v>477</v>
      </c>
    </row>
    <row r="137" spans="1:10">
      <c r="A137" s="497" t="s">
        <v>330</v>
      </c>
      <c r="B137" s="497" t="s">
        <v>345</v>
      </c>
      <c r="C137" s="497" t="s">
        <v>482</v>
      </c>
      <c r="D137" s="506">
        <v>9355.1200000000008</v>
      </c>
    </row>
    <row r="138" spans="1:10">
      <c r="A138" s="497" t="s">
        <v>346</v>
      </c>
      <c r="B138" s="497" t="s">
        <v>1287</v>
      </c>
      <c r="C138" s="497" t="s">
        <v>483</v>
      </c>
      <c r="D138" s="506">
        <v>10338.719999999999</v>
      </c>
    </row>
    <row r="139" spans="1:10">
      <c r="A139" s="497" t="s">
        <v>1284</v>
      </c>
      <c r="B139" s="497" t="s">
        <v>1294</v>
      </c>
      <c r="C139" s="497" t="s">
        <v>377</v>
      </c>
      <c r="D139" s="506">
        <v>4932.7</v>
      </c>
    </row>
    <row r="140" spans="1:10">
      <c r="A140" s="497" t="s">
        <v>1295</v>
      </c>
      <c r="B140" s="497" t="s">
        <v>1296</v>
      </c>
      <c r="C140" s="497" t="s">
        <v>1531</v>
      </c>
      <c r="D140" s="506">
        <v>302.32</v>
      </c>
      <c r="J140" s="497"/>
    </row>
    <row r="141" spans="1:10">
      <c r="A141" s="497" t="s">
        <v>1297</v>
      </c>
      <c r="B141" s="497" t="s">
        <v>1298</v>
      </c>
      <c r="C141" s="497" t="s">
        <v>1081</v>
      </c>
      <c r="D141" s="506">
        <v>4899.76</v>
      </c>
      <c r="J141" s="497"/>
    </row>
    <row r="142" spans="1:10">
      <c r="A142" s="497" t="s">
        <v>1299</v>
      </c>
      <c r="B142" s="497" t="s">
        <v>1300</v>
      </c>
      <c r="C142" s="497" t="s">
        <v>1082</v>
      </c>
      <c r="D142" s="506">
        <v>2286.7199999999998</v>
      </c>
      <c r="J142" s="497"/>
    </row>
    <row r="143" spans="1:10">
      <c r="A143" s="497" t="s">
        <v>1301</v>
      </c>
      <c r="B143" s="497" t="s">
        <v>1558</v>
      </c>
      <c r="C143" s="497" t="s">
        <v>1083</v>
      </c>
      <c r="D143" s="506">
        <v>1232.55</v>
      </c>
      <c r="J143" s="497"/>
    </row>
    <row r="144" spans="1:10">
      <c r="A144" s="497" t="s">
        <v>1518</v>
      </c>
      <c r="B144" s="497" t="s">
        <v>1519</v>
      </c>
      <c r="C144" s="497" t="s">
        <v>1443</v>
      </c>
      <c r="D144" s="506">
        <v>106.41</v>
      </c>
      <c r="J144" s="497"/>
    </row>
    <row r="145" spans="1:10">
      <c r="A145" s="497" t="s">
        <v>1174</v>
      </c>
      <c r="B145" s="497" t="s">
        <v>679</v>
      </c>
      <c r="C145" s="497" t="s">
        <v>1277</v>
      </c>
      <c r="D145" s="506">
        <v>4544.9799999999996</v>
      </c>
      <c r="J145" s="497"/>
    </row>
    <row r="146" spans="1:10">
      <c r="A146" s="497" t="s">
        <v>1026</v>
      </c>
      <c r="B146" s="497" t="s">
        <v>615</v>
      </c>
      <c r="C146" s="497" t="s">
        <v>1126</v>
      </c>
      <c r="D146" s="506">
        <v>9802.4</v>
      </c>
      <c r="J146" s="497"/>
    </row>
    <row r="147" spans="1:10">
      <c r="A147" s="497" t="s">
        <v>610</v>
      </c>
      <c r="B147" s="497" t="s">
        <v>1209</v>
      </c>
      <c r="C147" s="497" t="s">
        <v>1381</v>
      </c>
      <c r="E147" s="506">
        <v>1177.52</v>
      </c>
      <c r="J147" s="497"/>
    </row>
    <row r="148" spans="1:10">
      <c r="A148" s="497" t="s">
        <v>1210</v>
      </c>
      <c r="B148" s="497" t="s">
        <v>1447</v>
      </c>
      <c r="C148" s="497" t="s">
        <v>1382</v>
      </c>
      <c r="D148" s="506">
        <v>411.64</v>
      </c>
      <c r="J148" s="497"/>
    </row>
    <row r="149" spans="1:10">
      <c r="A149" s="497" t="s">
        <v>1375</v>
      </c>
      <c r="B149" s="497" t="s">
        <v>315</v>
      </c>
      <c r="C149" s="497" t="s">
        <v>1079</v>
      </c>
      <c r="D149" s="506">
        <v>9009.74</v>
      </c>
      <c r="J149" s="497"/>
    </row>
    <row r="150" spans="1:10" s="64" customFormat="1">
      <c r="A150" s="515" t="s">
        <v>316</v>
      </c>
      <c r="B150" s="515" t="s">
        <v>43</v>
      </c>
      <c r="C150" s="515" t="s">
        <v>922</v>
      </c>
      <c r="D150" s="516">
        <v>94813.46</v>
      </c>
      <c r="E150" s="516">
        <v>1177.52</v>
      </c>
      <c r="F150" s="517"/>
      <c r="G150" s="517"/>
      <c r="H150" s="517"/>
      <c r="I150" s="517"/>
      <c r="J150" s="515"/>
    </row>
    <row r="151" spans="1:10">
      <c r="A151" s="497" t="s">
        <v>44</v>
      </c>
      <c r="B151" s="497" t="s">
        <v>433</v>
      </c>
      <c r="C151" s="497" t="s">
        <v>1601</v>
      </c>
      <c r="D151" s="506">
        <v>2863.82</v>
      </c>
      <c r="J151" s="497"/>
    </row>
    <row r="152" spans="1:10">
      <c r="A152" s="497" t="s">
        <v>434</v>
      </c>
      <c r="B152" s="497" t="s">
        <v>248</v>
      </c>
      <c r="C152" s="497" t="s">
        <v>1602</v>
      </c>
      <c r="D152" s="506">
        <v>241.24</v>
      </c>
      <c r="J152" s="497"/>
    </row>
    <row r="153" spans="1:10">
      <c r="A153" s="497" t="s">
        <v>611</v>
      </c>
      <c r="B153" s="497" t="s">
        <v>612</v>
      </c>
      <c r="C153" s="497" t="s">
        <v>201</v>
      </c>
      <c r="D153" s="506">
        <v>405.38</v>
      </c>
      <c r="J153" s="497"/>
    </row>
    <row r="154" spans="1:10">
      <c r="A154" s="497" t="s">
        <v>443</v>
      </c>
      <c r="B154" s="497" t="s">
        <v>457</v>
      </c>
      <c r="C154" s="497" t="s">
        <v>983</v>
      </c>
      <c r="D154" s="506">
        <v>2361.44</v>
      </c>
      <c r="J154" s="497"/>
    </row>
    <row r="155" spans="1:10">
      <c r="A155" s="497" t="s">
        <v>458</v>
      </c>
      <c r="B155" s="497" t="s">
        <v>459</v>
      </c>
      <c r="C155" s="497" t="s">
        <v>984</v>
      </c>
      <c r="D155" s="506">
        <v>4360.8</v>
      </c>
      <c r="J155" s="497"/>
    </row>
    <row r="156" spans="1:10">
      <c r="A156" s="497" t="s">
        <v>1188</v>
      </c>
      <c r="B156" s="497" t="s">
        <v>1189</v>
      </c>
      <c r="C156" s="497" t="s">
        <v>837</v>
      </c>
      <c r="D156" s="506">
        <v>8605.09</v>
      </c>
      <c r="J156" s="497"/>
    </row>
    <row r="157" spans="1:10">
      <c r="A157" s="497" t="s">
        <v>1190</v>
      </c>
      <c r="B157" s="497" t="s">
        <v>1191</v>
      </c>
      <c r="C157" s="497" t="s">
        <v>838</v>
      </c>
      <c r="D157" s="506">
        <v>80.599999999999994</v>
      </c>
      <c r="J157" s="497"/>
    </row>
    <row r="158" spans="1:10">
      <c r="A158" s="497" t="s">
        <v>1192</v>
      </c>
      <c r="B158" s="497" t="s">
        <v>1193</v>
      </c>
      <c r="C158" s="497" t="s">
        <v>397</v>
      </c>
      <c r="D158" s="506">
        <v>1317.33</v>
      </c>
      <c r="J158" s="497"/>
    </row>
    <row r="159" spans="1:10">
      <c r="A159" s="497" t="s">
        <v>1194</v>
      </c>
      <c r="B159" s="497" t="s">
        <v>1233</v>
      </c>
      <c r="C159" s="497" t="s">
        <v>1233</v>
      </c>
      <c r="D159" s="506">
        <v>2149.33</v>
      </c>
      <c r="J159" s="497"/>
    </row>
    <row r="160" spans="1:10">
      <c r="A160" s="497" t="s">
        <v>1234</v>
      </c>
      <c r="B160" s="497" t="s">
        <v>1235</v>
      </c>
      <c r="C160" s="497" t="s">
        <v>454</v>
      </c>
      <c r="D160" s="506">
        <v>2427.14</v>
      </c>
      <c r="J160" s="497"/>
    </row>
    <row r="161" spans="1:10">
      <c r="A161" s="497" t="s">
        <v>1236</v>
      </c>
      <c r="B161" s="497" t="s">
        <v>1224</v>
      </c>
      <c r="C161" s="497" t="s">
        <v>455</v>
      </c>
      <c r="D161" s="506">
        <v>30479.41</v>
      </c>
      <c r="J161" s="497"/>
    </row>
    <row r="162" spans="1:10">
      <c r="A162" s="497" t="s">
        <v>1228</v>
      </c>
      <c r="B162" s="497" t="s">
        <v>1229</v>
      </c>
      <c r="C162" s="497" t="s">
        <v>456</v>
      </c>
      <c r="D162" s="506">
        <v>272.55</v>
      </c>
      <c r="J162" s="497"/>
    </row>
    <row r="163" spans="1:10">
      <c r="A163" s="497" t="s">
        <v>1230</v>
      </c>
      <c r="B163" s="497" t="s">
        <v>896</v>
      </c>
      <c r="C163" s="497" t="s">
        <v>277</v>
      </c>
      <c r="D163" s="506">
        <v>407.74</v>
      </c>
      <c r="J163" s="497"/>
    </row>
    <row r="164" spans="1:10">
      <c r="A164" s="497" t="s">
        <v>897</v>
      </c>
      <c r="B164" s="497" t="s">
        <v>898</v>
      </c>
      <c r="C164" s="497" t="s">
        <v>1221</v>
      </c>
      <c r="D164" s="506">
        <v>3476.96</v>
      </c>
      <c r="J164" s="497"/>
    </row>
    <row r="165" spans="1:10">
      <c r="A165" s="497" t="s">
        <v>707</v>
      </c>
      <c r="B165" s="497" t="s">
        <v>480</v>
      </c>
      <c r="C165" s="497" t="s">
        <v>1222</v>
      </c>
      <c r="D165" s="506">
        <v>204.4</v>
      </c>
      <c r="J165" s="497"/>
    </row>
    <row r="166" spans="1:10">
      <c r="A166" s="497" t="s">
        <v>279</v>
      </c>
      <c r="B166" s="497" t="s">
        <v>280</v>
      </c>
      <c r="C166" s="497" t="s">
        <v>1087</v>
      </c>
      <c r="D166" s="506">
        <v>2581.02</v>
      </c>
      <c r="J166" s="497"/>
    </row>
    <row r="167" spans="1:10">
      <c r="A167" s="497" t="s">
        <v>371</v>
      </c>
      <c r="B167" s="497" t="s">
        <v>372</v>
      </c>
      <c r="C167" s="497" t="s">
        <v>466</v>
      </c>
      <c r="D167" s="506">
        <v>16674.29</v>
      </c>
      <c r="J167" s="497"/>
    </row>
    <row r="168" spans="1:10">
      <c r="A168" s="497" t="s">
        <v>547</v>
      </c>
      <c r="B168" s="497" t="s">
        <v>105</v>
      </c>
      <c r="C168" s="497" t="s">
        <v>121</v>
      </c>
      <c r="D168" s="506">
        <v>917.29</v>
      </c>
      <c r="J168" s="497"/>
    </row>
    <row r="169" spans="1:10">
      <c r="A169" s="497" t="s">
        <v>269</v>
      </c>
      <c r="B169" s="497" t="s">
        <v>34</v>
      </c>
      <c r="C169" s="497" t="s">
        <v>144</v>
      </c>
      <c r="D169" s="506">
        <v>1589.32</v>
      </c>
      <c r="J169" s="497"/>
    </row>
    <row r="170" spans="1:10">
      <c r="A170" s="497" t="s">
        <v>91</v>
      </c>
      <c r="B170" s="497" t="s">
        <v>281</v>
      </c>
      <c r="C170" s="497" t="s">
        <v>145</v>
      </c>
      <c r="D170" s="506">
        <v>8795.09</v>
      </c>
      <c r="J170" s="497"/>
    </row>
    <row r="171" spans="1:10">
      <c r="A171" s="497" t="s">
        <v>282</v>
      </c>
      <c r="B171" s="497" t="s">
        <v>283</v>
      </c>
      <c r="C171" s="497" t="s">
        <v>231</v>
      </c>
      <c r="D171" s="506">
        <v>976.35</v>
      </c>
      <c r="J171" s="497"/>
    </row>
    <row r="172" spans="1:10">
      <c r="A172" s="497" t="s">
        <v>284</v>
      </c>
      <c r="B172" s="497" t="s">
        <v>285</v>
      </c>
      <c r="C172" s="497" t="s">
        <v>1037</v>
      </c>
      <c r="D172" s="506">
        <v>67.38</v>
      </c>
      <c r="J172" s="497"/>
    </row>
    <row r="173" spans="1:10">
      <c r="A173" s="497" t="s">
        <v>286</v>
      </c>
      <c r="B173" s="497" t="s">
        <v>212</v>
      </c>
      <c r="C173" s="497" t="s">
        <v>1038</v>
      </c>
      <c r="D173" s="506">
        <v>1551.57</v>
      </c>
      <c r="J173" s="497"/>
    </row>
    <row r="174" spans="1:10">
      <c r="A174" s="497" t="s">
        <v>213</v>
      </c>
      <c r="B174" s="497" t="s">
        <v>214</v>
      </c>
      <c r="C174" s="497" t="s">
        <v>882</v>
      </c>
      <c r="D174" s="506">
        <v>1646.01</v>
      </c>
      <c r="J174" s="497"/>
    </row>
    <row r="175" spans="1:10">
      <c r="A175" s="497" t="s">
        <v>215</v>
      </c>
      <c r="B175" s="497" t="s">
        <v>197</v>
      </c>
      <c r="C175" s="497" t="s">
        <v>883</v>
      </c>
      <c r="D175" s="506">
        <v>5726.99</v>
      </c>
      <c r="J175" s="497"/>
    </row>
    <row r="176" spans="1:10">
      <c r="A176" s="497" t="s">
        <v>198</v>
      </c>
      <c r="B176" s="497" t="s">
        <v>92</v>
      </c>
      <c r="C176" s="497" t="s">
        <v>884</v>
      </c>
      <c r="D176" s="506">
        <v>3809.94</v>
      </c>
      <c r="J176" s="497"/>
    </row>
    <row r="177" spans="1:10">
      <c r="A177" s="497" t="s">
        <v>206</v>
      </c>
      <c r="B177" s="497" t="s">
        <v>207</v>
      </c>
      <c r="C177" s="497" t="s">
        <v>885</v>
      </c>
      <c r="D177" s="506">
        <v>228.67</v>
      </c>
      <c r="J177" s="497"/>
    </row>
    <row r="178" spans="1:10">
      <c r="A178" s="497" t="s">
        <v>208</v>
      </c>
      <c r="B178" s="497" t="s">
        <v>612</v>
      </c>
      <c r="C178" s="497" t="s">
        <v>201</v>
      </c>
      <c r="D178" s="506">
        <v>254.93</v>
      </c>
      <c r="J178" s="497"/>
    </row>
    <row r="179" spans="1:10">
      <c r="A179" s="497" t="s">
        <v>209</v>
      </c>
      <c r="B179" s="497" t="s">
        <v>210</v>
      </c>
      <c r="C179" s="497" t="s">
        <v>886</v>
      </c>
      <c r="D179" s="506">
        <v>460</v>
      </c>
      <c r="J179" s="497"/>
    </row>
    <row r="180" spans="1:10" s="64" customFormat="1">
      <c r="A180" s="515" t="s">
        <v>211</v>
      </c>
      <c r="B180" s="515" t="s">
        <v>42</v>
      </c>
      <c r="C180" s="526" t="s">
        <v>1049</v>
      </c>
      <c r="D180" s="516">
        <v>104932.08</v>
      </c>
      <c r="E180" s="516"/>
      <c r="F180" s="517"/>
      <c r="G180" s="517"/>
      <c r="H180" s="517"/>
      <c r="I180" s="517"/>
      <c r="J180" s="515"/>
    </row>
    <row r="181" spans="1:10">
      <c r="A181" s="497" t="s">
        <v>467</v>
      </c>
      <c r="B181" s="497" t="s">
        <v>527</v>
      </c>
      <c r="C181" s="497" t="s">
        <v>1364</v>
      </c>
      <c r="D181" s="506">
        <v>12005.35</v>
      </c>
      <c r="J181" s="497"/>
    </row>
    <row r="182" spans="1:10">
      <c r="A182" s="497" t="s">
        <v>528</v>
      </c>
      <c r="B182" s="497" t="s">
        <v>529</v>
      </c>
      <c r="C182" s="497" t="s">
        <v>1084</v>
      </c>
      <c r="D182" s="506">
        <v>643.09</v>
      </c>
      <c r="J182" s="497"/>
    </row>
    <row r="183" spans="1:10" s="64" customFormat="1">
      <c r="A183" s="515" t="s">
        <v>363</v>
      </c>
      <c r="B183" s="515" t="s">
        <v>364</v>
      </c>
      <c r="C183" s="515" t="s">
        <v>1085</v>
      </c>
      <c r="D183" s="516">
        <v>12648.44</v>
      </c>
      <c r="E183" s="516"/>
      <c r="F183" s="517"/>
      <c r="G183" s="517"/>
      <c r="H183" s="517"/>
      <c r="I183" s="517"/>
      <c r="J183" s="515"/>
    </row>
    <row r="184" spans="1:10">
      <c r="A184" s="497" t="s">
        <v>708</v>
      </c>
      <c r="B184" s="497" t="s">
        <v>447</v>
      </c>
      <c r="C184" s="497" t="s">
        <v>317</v>
      </c>
      <c r="D184" s="506">
        <v>196004.75</v>
      </c>
      <c r="J184" s="497"/>
    </row>
    <row r="185" spans="1:10">
      <c r="A185" s="497" t="s">
        <v>802</v>
      </c>
      <c r="B185" s="497" t="s">
        <v>613</v>
      </c>
      <c r="C185" s="497" t="s">
        <v>318</v>
      </c>
      <c r="E185" s="506">
        <v>7704.34</v>
      </c>
      <c r="J185" s="497"/>
    </row>
    <row r="186" spans="1:10">
      <c r="A186" s="497" t="s">
        <v>614</v>
      </c>
      <c r="B186" s="497" t="s">
        <v>799</v>
      </c>
      <c r="C186" s="497" t="s">
        <v>319</v>
      </c>
      <c r="D186" s="506">
        <v>6015.67</v>
      </c>
      <c r="J186" s="497"/>
    </row>
    <row r="187" spans="1:10">
      <c r="A187" s="497" t="s">
        <v>765</v>
      </c>
      <c r="B187" s="497" t="s">
        <v>1386</v>
      </c>
      <c r="C187" s="497" t="s">
        <v>709</v>
      </c>
      <c r="D187" s="506">
        <v>1794.63</v>
      </c>
      <c r="J187" s="497"/>
    </row>
    <row r="188" spans="1:10">
      <c r="A188" s="497" t="s">
        <v>1387</v>
      </c>
      <c r="B188" s="497" t="s">
        <v>1530</v>
      </c>
      <c r="C188" s="497" t="s">
        <v>729</v>
      </c>
      <c r="D188" s="506">
        <v>203815.05</v>
      </c>
      <c r="E188" s="506">
        <v>7704.34</v>
      </c>
      <c r="J188" s="497"/>
    </row>
    <row r="189" spans="1:10">
      <c r="A189" s="497" t="s">
        <v>543</v>
      </c>
      <c r="B189" s="497" t="s">
        <v>311</v>
      </c>
      <c r="C189" s="497" t="s">
        <v>730</v>
      </c>
      <c r="D189" s="506">
        <v>54112.11</v>
      </c>
      <c r="J189" s="497"/>
    </row>
    <row r="190" spans="1:10">
      <c r="A190" s="497" t="s">
        <v>312</v>
      </c>
      <c r="B190" s="497" t="s">
        <v>663</v>
      </c>
      <c r="C190" s="497" t="s">
        <v>1185</v>
      </c>
      <c r="D190" s="506">
        <v>1076.8900000000001</v>
      </c>
      <c r="J190" s="497"/>
    </row>
    <row r="191" spans="1:10">
      <c r="A191" s="497" t="s">
        <v>544</v>
      </c>
      <c r="B191" s="497" t="s">
        <v>545</v>
      </c>
      <c r="C191" s="497" t="s">
        <v>1186</v>
      </c>
      <c r="D191" s="506">
        <v>2154.73</v>
      </c>
      <c r="J191" s="497"/>
    </row>
    <row r="192" spans="1:10">
      <c r="A192" s="497" t="s">
        <v>546</v>
      </c>
      <c r="B192" s="497" t="s">
        <v>831</v>
      </c>
      <c r="C192" s="497" t="s">
        <v>1187</v>
      </c>
      <c r="D192" s="506">
        <v>8847.26</v>
      </c>
      <c r="J192" s="497"/>
    </row>
    <row r="193" spans="1:10">
      <c r="A193" s="497" t="s">
        <v>832</v>
      </c>
      <c r="B193" s="497" t="s">
        <v>833</v>
      </c>
      <c r="C193" s="497" t="s">
        <v>1493</v>
      </c>
      <c r="D193" s="506">
        <v>7375.79</v>
      </c>
      <c r="J193" s="497"/>
    </row>
    <row r="194" spans="1:10">
      <c r="A194" s="497" t="s">
        <v>834</v>
      </c>
      <c r="B194" s="497" t="s">
        <v>128</v>
      </c>
      <c r="C194" s="497" t="s">
        <v>1604</v>
      </c>
      <c r="E194" s="506">
        <v>3081.74</v>
      </c>
      <c r="J194" s="497"/>
    </row>
    <row r="195" spans="1:10">
      <c r="A195" s="497" t="s">
        <v>129</v>
      </c>
      <c r="B195" s="497" t="s">
        <v>130</v>
      </c>
      <c r="C195" s="503" t="s">
        <v>1090</v>
      </c>
      <c r="D195" s="506">
        <v>5916.86</v>
      </c>
      <c r="J195" s="497"/>
    </row>
    <row r="196" spans="1:10">
      <c r="A196" s="497" t="s">
        <v>131</v>
      </c>
      <c r="B196" s="497" t="s">
        <v>486</v>
      </c>
      <c r="C196" s="497" t="s">
        <v>1091</v>
      </c>
      <c r="D196" s="506">
        <v>79483.64</v>
      </c>
      <c r="E196" s="506">
        <v>3081.74</v>
      </c>
      <c r="J196" s="497"/>
    </row>
    <row r="197" spans="1:10">
      <c r="A197" s="497" t="s">
        <v>339</v>
      </c>
      <c r="B197" s="497" t="s">
        <v>1473</v>
      </c>
      <c r="C197" s="497" t="s">
        <v>478</v>
      </c>
      <c r="D197" s="506">
        <v>484.48</v>
      </c>
      <c r="J197" s="497"/>
    </row>
    <row r="198" spans="1:10">
      <c r="A198" s="497" t="s">
        <v>1474</v>
      </c>
      <c r="B198" s="497" t="s">
        <v>1475</v>
      </c>
      <c r="C198" s="497" t="s">
        <v>470</v>
      </c>
      <c r="D198" s="506">
        <v>4769.66</v>
      </c>
      <c r="J198" s="497"/>
    </row>
    <row r="199" spans="1:10" s="64" customFormat="1">
      <c r="A199" s="515" t="s">
        <v>1595</v>
      </c>
      <c r="B199" s="515" t="s">
        <v>1465</v>
      </c>
      <c r="C199" s="526" t="s">
        <v>297</v>
      </c>
      <c r="D199" s="516">
        <v>288552.83</v>
      </c>
      <c r="E199" s="516">
        <v>10786.08</v>
      </c>
      <c r="F199" s="517"/>
      <c r="G199" s="517"/>
      <c r="H199" s="517"/>
      <c r="I199" s="517"/>
      <c r="J199" s="515" t="s">
        <v>601</v>
      </c>
    </row>
    <row r="200" spans="1:10">
      <c r="A200" s="497" t="s">
        <v>1466</v>
      </c>
      <c r="B200" s="497" t="s">
        <v>1237</v>
      </c>
      <c r="C200" s="503" t="s">
        <v>826</v>
      </c>
      <c r="D200" s="506">
        <v>118.32</v>
      </c>
      <c r="J200" s="497"/>
    </row>
    <row r="201" spans="1:10" s="64" customFormat="1">
      <c r="A201" s="515" t="s">
        <v>1238</v>
      </c>
      <c r="B201" s="515" t="s">
        <v>1480</v>
      </c>
      <c r="C201" s="515" t="s">
        <v>630</v>
      </c>
      <c r="D201" s="516">
        <v>118.32</v>
      </c>
      <c r="E201" s="516"/>
      <c r="F201" s="517"/>
      <c r="G201" s="517"/>
      <c r="H201" s="517"/>
      <c r="I201" s="517"/>
      <c r="J201" s="515" t="s">
        <v>410</v>
      </c>
    </row>
    <row r="202" spans="1:10">
      <c r="A202" s="497" t="s">
        <v>1247</v>
      </c>
      <c r="B202" s="497" t="s">
        <v>1248</v>
      </c>
      <c r="C202" s="497" t="s">
        <v>586</v>
      </c>
      <c r="D202" s="506">
        <v>5399.6</v>
      </c>
      <c r="J202" s="497" t="s">
        <v>1438</v>
      </c>
    </row>
    <row r="203" spans="1:10">
      <c r="A203" s="497" t="s">
        <v>1606</v>
      </c>
      <c r="B203" s="497" t="s">
        <v>1428</v>
      </c>
      <c r="C203" s="497" t="s">
        <v>1111</v>
      </c>
      <c r="D203" s="506">
        <v>247.75</v>
      </c>
      <c r="J203" s="497"/>
    </row>
    <row r="204" spans="1:10">
      <c r="A204" s="497" t="s">
        <v>1429</v>
      </c>
      <c r="B204" s="497" t="s">
        <v>1427</v>
      </c>
      <c r="C204" s="497" t="s">
        <v>1271</v>
      </c>
      <c r="D204" s="506">
        <v>4748.83</v>
      </c>
      <c r="J204" s="497"/>
    </row>
    <row r="205" spans="1:10">
      <c r="A205" s="497" t="s">
        <v>941</v>
      </c>
      <c r="B205" s="497" t="s">
        <v>1430</v>
      </c>
      <c r="C205" s="497" t="s">
        <v>1272</v>
      </c>
      <c r="D205" s="506">
        <v>0.51</v>
      </c>
      <c r="J205" s="497"/>
    </row>
    <row r="206" spans="1:10" s="64" customFormat="1">
      <c r="A206" s="515" t="s">
        <v>1431</v>
      </c>
      <c r="B206" s="515" t="s">
        <v>1432</v>
      </c>
      <c r="C206" s="515" t="s">
        <v>1432</v>
      </c>
      <c r="D206" s="516">
        <v>10396.69</v>
      </c>
      <c r="E206" s="516"/>
      <c r="F206" s="517"/>
      <c r="G206" s="517"/>
      <c r="H206" s="517"/>
      <c r="I206" s="517"/>
      <c r="J206" s="515" t="s">
        <v>1119</v>
      </c>
    </row>
    <row r="207" spans="1:10">
      <c r="A207" s="497" t="s">
        <v>1388</v>
      </c>
      <c r="B207" s="497" t="s">
        <v>1389</v>
      </c>
      <c r="C207" s="497" t="s">
        <v>952</v>
      </c>
      <c r="D207" s="506">
        <v>1177.52</v>
      </c>
      <c r="J207" s="497"/>
    </row>
    <row r="208" spans="1:10" s="64" customFormat="1">
      <c r="A208" s="515" t="s">
        <v>1390</v>
      </c>
      <c r="B208" s="515" t="s">
        <v>1250</v>
      </c>
      <c r="C208" s="526" t="s">
        <v>993</v>
      </c>
      <c r="D208" s="516">
        <v>1177.52</v>
      </c>
      <c r="E208" s="516"/>
      <c r="F208" s="517"/>
      <c r="G208" s="517"/>
      <c r="H208" s="517"/>
      <c r="I208" s="517"/>
      <c r="J208" s="515" t="s">
        <v>994</v>
      </c>
    </row>
    <row r="209" spans="1:11">
      <c r="A209" s="497" t="s">
        <v>1420</v>
      </c>
      <c r="B209" s="497" t="s">
        <v>1307</v>
      </c>
      <c r="C209" s="497" t="s">
        <v>1308</v>
      </c>
      <c r="D209" s="506">
        <v>47803.8</v>
      </c>
      <c r="J209" s="497"/>
    </row>
    <row r="210" spans="1:11">
      <c r="A210" s="497" t="s">
        <v>1089</v>
      </c>
      <c r="B210" s="497" t="s">
        <v>1063</v>
      </c>
      <c r="C210" s="497" t="s">
        <v>1309</v>
      </c>
      <c r="D210" s="506">
        <v>47803.8</v>
      </c>
      <c r="J210" s="497"/>
    </row>
    <row r="211" spans="1:11" s="64" customFormat="1">
      <c r="A211" s="515" t="s">
        <v>1064</v>
      </c>
      <c r="B211" s="515" t="s">
        <v>908</v>
      </c>
      <c r="C211" s="515" t="s">
        <v>948</v>
      </c>
      <c r="D211" s="516">
        <v>47803.8</v>
      </c>
      <c r="E211" s="516"/>
      <c r="F211" s="517"/>
      <c r="G211" s="517"/>
      <c r="H211" s="517"/>
      <c r="I211" s="517"/>
      <c r="J211" s="515"/>
    </row>
    <row r="212" spans="1:11">
      <c r="A212" s="500" t="s">
        <v>909</v>
      </c>
      <c r="B212" s="500" t="s">
        <v>902</v>
      </c>
      <c r="C212" s="500" t="s">
        <v>949</v>
      </c>
      <c r="D212" s="507">
        <v>872228.84</v>
      </c>
      <c r="E212" s="507">
        <v>11963.6</v>
      </c>
      <c r="F212" s="512">
        <f>E212-D212</f>
        <v>-860265.24</v>
      </c>
      <c r="G212" s="512"/>
      <c r="H212" s="512"/>
      <c r="I212" s="512"/>
      <c r="J212" s="500" t="s">
        <v>649</v>
      </c>
      <c r="K212" s="504"/>
    </row>
    <row r="213" spans="1:11">
      <c r="A213" s="497" t="s">
        <v>903</v>
      </c>
      <c r="B213" s="497" t="s">
        <v>904</v>
      </c>
      <c r="C213" s="497" t="s">
        <v>650</v>
      </c>
      <c r="E213" s="506">
        <v>11361.23</v>
      </c>
      <c r="J213" s="497"/>
    </row>
    <row r="214" spans="1:11">
      <c r="A214" s="497" t="s">
        <v>905</v>
      </c>
      <c r="B214" s="497" t="s">
        <v>906</v>
      </c>
      <c r="C214" s="497" t="s">
        <v>374</v>
      </c>
      <c r="E214" s="506">
        <v>275.35000000000002</v>
      </c>
      <c r="J214" s="497"/>
    </row>
    <row r="215" spans="1:11">
      <c r="A215" s="497" t="s">
        <v>892</v>
      </c>
      <c r="B215" s="497" t="s">
        <v>893</v>
      </c>
      <c r="C215" s="497" t="s">
        <v>375</v>
      </c>
      <c r="E215" s="506">
        <v>16051.65</v>
      </c>
      <c r="J215" s="497"/>
    </row>
    <row r="216" spans="1:11">
      <c r="A216" s="497" t="s">
        <v>1050</v>
      </c>
      <c r="B216" s="497" t="s">
        <v>1051</v>
      </c>
      <c r="C216" s="497" t="s">
        <v>376</v>
      </c>
      <c r="E216" s="506">
        <v>1511.6</v>
      </c>
      <c r="J216" s="497"/>
    </row>
    <row r="217" spans="1:11">
      <c r="A217" s="497" t="s">
        <v>1052</v>
      </c>
      <c r="B217" s="497" t="s">
        <v>1215</v>
      </c>
      <c r="C217" s="497" t="s">
        <v>381</v>
      </c>
      <c r="E217" s="506">
        <v>2661.12</v>
      </c>
      <c r="J217" s="497"/>
    </row>
    <row r="218" spans="1:11">
      <c r="A218" s="497" t="s">
        <v>1216</v>
      </c>
      <c r="B218" s="497" t="s">
        <v>1217</v>
      </c>
      <c r="C218" s="497" t="s">
        <v>186</v>
      </c>
      <c r="E218" s="506">
        <v>4941.92</v>
      </c>
      <c r="J218" s="497"/>
    </row>
    <row r="219" spans="1:11">
      <c r="A219" s="497" t="s">
        <v>1218</v>
      </c>
      <c r="B219" s="497" t="s">
        <v>1065</v>
      </c>
      <c r="C219" s="497" t="s">
        <v>47</v>
      </c>
      <c r="E219" s="506">
        <v>31145.66</v>
      </c>
      <c r="J219" s="497"/>
    </row>
    <row r="220" spans="1:11">
      <c r="A220" s="497" t="s">
        <v>921</v>
      </c>
      <c r="B220" s="497" t="s">
        <v>506</v>
      </c>
      <c r="C220" s="497" t="s">
        <v>48</v>
      </c>
      <c r="E220" s="506">
        <v>4837.5</v>
      </c>
      <c r="J220" s="497"/>
    </row>
    <row r="221" spans="1:11">
      <c r="A221" s="497" t="s">
        <v>680</v>
      </c>
      <c r="B221" s="497" t="s">
        <v>681</v>
      </c>
      <c r="C221" s="497" t="s">
        <v>49</v>
      </c>
      <c r="E221" s="506">
        <v>338878.71999999997</v>
      </c>
      <c r="J221" s="497"/>
    </row>
    <row r="222" spans="1:11">
      <c r="A222" s="497" t="s">
        <v>507</v>
      </c>
      <c r="B222" s="497" t="s">
        <v>734</v>
      </c>
      <c r="C222" s="497" t="s">
        <v>50</v>
      </c>
      <c r="E222" s="506">
        <v>122681.28</v>
      </c>
      <c r="J222" s="497"/>
    </row>
    <row r="223" spans="1:11">
      <c r="A223" s="497" t="s">
        <v>735</v>
      </c>
      <c r="B223" s="497" t="s">
        <v>675</v>
      </c>
      <c r="C223" s="497" t="s">
        <v>114</v>
      </c>
      <c r="E223" s="506">
        <v>3642.76</v>
      </c>
      <c r="J223" s="497"/>
    </row>
    <row r="224" spans="1:11">
      <c r="A224" s="497" t="s">
        <v>505</v>
      </c>
      <c r="B224" s="497" t="s">
        <v>828</v>
      </c>
      <c r="C224" s="497" t="s">
        <v>115</v>
      </c>
      <c r="E224" s="506">
        <v>1205</v>
      </c>
      <c r="J224" s="497"/>
    </row>
    <row r="225" spans="1:10">
      <c r="A225" s="497" t="s">
        <v>829</v>
      </c>
      <c r="B225" s="497" t="s">
        <v>4</v>
      </c>
      <c r="C225" s="497" t="s">
        <v>138</v>
      </c>
      <c r="E225" s="506">
        <v>26550.68</v>
      </c>
      <c r="J225" s="497"/>
    </row>
    <row r="226" spans="1:10">
      <c r="A226" s="497" t="s">
        <v>5</v>
      </c>
      <c r="B226" s="497" t="s">
        <v>6</v>
      </c>
      <c r="C226" s="497" t="s">
        <v>139</v>
      </c>
      <c r="E226" s="506">
        <v>8138.63</v>
      </c>
      <c r="J226" s="497"/>
    </row>
    <row r="227" spans="1:10">
      <c r="A227" s="497" t="s">
        <v>7</v>
      </c>
      <c r="B227" s="497" t="s">
        <v>437</v>
      </c>
      <c r="C227" s="497" t="s">
        <v>235</v>
      </c>
      <c r="E227" s="506">
        <v>281049.69</v>
      </c>
      <c r="J227" s="497"/>
    </row>
    <row r="228" spans="1:10">
      <c r="A228" s="497" t="s">
        <v>251</v>
      </c>
      <c r="B228" s="497" t="s">
        <v>252</v>
      </c>
      <c r="C228" s="497" t="s">
        <v>236</v>
      </c>
      <c r="E228" s="506">
        <v>24272.1</v>
      </c>
      <c r="J228" s="497"/>
    </row>
    <row r="229" spans="1:10">
      <c r="A229" s="497" t="s">
        <v>1092</v>
      </c>
      <c r="B229" s="497" t="s">
        <v>1093</v>
      </c>
      <c r="C229" s="497" t="s">
        <v>237</v>
      </c>
      <c r="E229" s="506">
        <v>79591.81</v>
      </c>
      <c r="J229" s="497"/>
    </row>
    <row r="230" spans="1:10">
      <c r="A230" s="497" t="s">
        <v>1094</v>
      </c>
      <c r="B230" s="497" t="s">
        <v>298</v>
      </c>
      <c r="C230" s="497" t="s">
        <v>424</v>
      </c>
      <c r="E230" s="506">
        <v>15356.61</v>
      </c>
      <c r="J230" s="497"/>
    </row>
    <row r="231" spans="1:10">
      <c r="A231" s="497" t="s">
        <v>299</v>
      </c>
      <c r="B231" s="497" t="s">
        <v>624</v>
      </c>
      <c r="C231" s="497" t="s">
        <v>247</v>
      </c>
      <c r="E231" s="506">
        <v>2681.92</v>
      </c>
      <c r="J231" s="497"/>
    </row>
    <row r="232" spans="1:10">
      <c r="A232" s="497" t="s">
        <v>625</v>
      </c>
      <c r="B232" s="497" t="s">
        <v>626</v>
      </c>
      <c r="C232" s="497" t="s">
        <v>617</v>
      </c>
      <c r="E232" s="506">
        <v>138</v>
      </c>
      <c r="J232" s="497"/>
    </row>
    <row r="233" spans="1:10">
      <c r="A233" s="497" t="s">
        <v>627</v>
      </c>
      <c r="B233" s="497" t="s">
        <v>628</v>
      </c>
      <c r="C233" s="497" t="s">
        <v>618</v>
      </c>
      <c r="E233" s="506">
        <v>1804.55</v>
      </c>
      <c r="J233" s="497"/>
    </row>
    <row r="234" spans="1:10">
      <c r="A234" s="497" t="s">
        <v>629</v>
      </c>
      <c r="B234" s="497" t="s">
        <v>595</v>
      </c>
      <c r="C234" s="497" t="s">
        <v>270</v>
      </c>
      <c r="E234" s="506">
        <v>1066.24</v>
      </c>
      <c r="J234" s="497"/>
    </row>
    <row r="235" spans="1:10">
      <c r="A235" s="497" t="s">
        <v>596</v>
      </c>
      <c r="B235" s="497" t="s">
        <v>242</v>
      </c>
      <c r="C235" s="497" t="s">
        <v>579</v>
      </c>
      <c r="E235" s="506">
        <v>806.91</v>
      </c>
      <c r="J235" s="497"/>
    </row>
    <row r="236" spans="1:10">
      <c r="A236" s="497" t="s">
        <v>243</v>
      </c>
      <c r="B236" s="497" t="s">
        <v>356</v>
      </c>
      <c r="C236" s="497" t="s">
        <v>580</v>
      </c>
      <c r="E236" s="506">
        <v>55</v>
      </c>
      <c r="J236" s="497"/>
    </row>
    <row r="237" spans="1:10">
      <c r="A237" s="497" t="s">
        <v>357</v>
      </c>
      <c r="B237" s="497" t="s">
        <v>358</v>
      </c>
      <c r="C237" s="497" t="s">
        <v>581</v>
      </c>
      <c r="E237" s="506">
        <v>27920.54</v>
      </c>
      <c r="J237" s="497"/>
    </row>
    <row r="238" spans="1:10">
      <c r="A238" s="497" t="s">
        <v>359</v>
      </c>
      <c r="B238" s="497" t="s">
        <v>565</v>
      </c>
      <c r="C238" s="497" t="s">
        <v>401</v>
      </c>
      <c r="E238" s="506">
        <v>4921.62</v>
      </c>
      <c r="J238" s="497"/>
    </row>
    <row r="239" spans="1:10" s="64" customFormat="1">
      <c r="A239" s="515" t="s">
        <v>566</v>
      </c>
      <c r="B239" s="515" t="s">
        <v>597</v>
      </c>
      <c r="C239" s="515" t="s">
        <v>755</v>
      </c>
      <c r="D239" s="516"/>
      <c r="E239" s="516">
        <v>1013548.09</v>
      </c>
      <c r="F239" s="517"/>
      <c r="G239" s="517"/>
      <c r="H239" s="517"/>
      <c r="I239" s="517"/>
      <c r="J239" s="515"/>
    </row>
    <row r="240" spans="1:10">
      <c r="A240" s="497" t="s">
        <v>792</v>
      </c>
      <c r="B240" s="497" t="s">
        <v>676</v>
      </c>
      <c r="C240" s="497" t="s">
        <v>301</v>
      </c>
      <c r="E240" s="506">
        <v>66.260000000000005</v>
      </c>
      <c r="J240" s="497"/>
    </row>
    <row r="241" spans="1:11" s="64" customFormat="1">
      <c r="A241" s="515" t="s">
        <v>677</v>
      </c>
      <c r="B241" s="515" t="s">
        <v>712</v>
      </c>
      <c r="C241" s="515" t="s">
        <v>302</v>
      </c>
      <c r="D241" s="516"/>
      <c r="E241" s="516">
        <v>66.260000000000005</v>
      </c>
      <c r="F241" s="517"/>
      <c r="G241" s="517"/>
      <c r="H241" s="517"/>
      <c r="I241" s="517"/>
      <c r="J241" s="515"/>
    </row>
    <row r="242" spans="1:11">
      <c r="A242" s="497" t="s">
        <v>320</v>
      </c>
      <c r="B242" s="497" t="s">
        <v>710</v>
      </c>
      <c r="C242" s="497" t="s">
        <v>303</v>
      </c>
      <c r="E242" s="506">
        <v>2154.21</v>
      </c>
      <c r="J242" s="497"/>
    </row>
    <row r="243" spans="1:11">
      <c r="A243" s="497" t="s">
        <v>711</v>
      </c>
      <c r="B243" s="497" t="s">
        <v>705</v>
      </c>
      <c r="C243" s="497" t="s">
        <v>479</v>
      </c>
      <c r="E243" s="506">
        <v>47.67</v>
      </c>
      <c r="J243" s="497"/>
    </row>
    <row r="244" spans="1:11">
      <c r="A244" s="497" t="s">
        <v>717</v>
      </c>
      <c r="B244" s="497" t="s">
        <v>693</v>
      </c>
      <c r="C244" s="497" t="s">
        <v>554</v>
      </c>
      <c r="E244" s="506">
        <v>0.34</v>
      </c>
      <c r="J244" s="497"/>
    </row>
    <row r="245" spans="1:11" s="64" customFormat="1">
      <c r="A245" s="515" t="s">
        <v>694</v>
      </c>
      <c r="B245" s="515" t="s">
        <v>870</v>
      </c>
      <c r="C245" s="515" t="s">
        <v>460</v>
      </c>
      <c r="D245" s="516"/>
      <c r="E245" s="516">
        <v>2202.2199999999998</v>
      </c>
      <c r="F245" s="517"/>
      <c r="G245" s="517"/>
      <c r="H245" s="517"/>
      <c r="I245" s="517"/>
      <c r="J245" s="515"/>
    </row>
    <row r="246" spans="1:11">
      <c r="A246" s="497" t="s">
        <v>894</v>
      </c>
      <c r="B246" s="497" t="s">
        <v>895</v>
      </c>
      <c r="C246" s="497" t="s">
        <v>461</v>
      </c>
      <c r="E246" s="506">
        <v>13498.07</v>
      </c>
      <c r="J246" s="497"/>
    </row>
    <row r="247" spans="1:11">
      <c r="A247" s="497" t="s">
        <v>722</v>
      </c>
      <c r="B247" s="497" t="s">
        <v>723</v>
      </c>
      <c r="C247" s="497" t="s">
        <v>272</v>
      </c>
      <c r="E247" s="506">
        <v>17751.2</v>
      </c>
      <c r="J247" s="497"/>
    </row>
    <row r="248" spans="1:11" s="64" customFormat="1">
      <c r="A248" s="515" t="s">
        <v>533</v>
      </c>
      <c r="B248" s="515" t="s">
        <v>870</v>
      </c>
      <c r="C248" s="515" t="s">
        <v>177</v>
      </c>
      <c r="D248" s="516"/>
      <c r="E248" s="516">
        <v>31249.27</v>
      </c>
      <c r="F248" s="517"/>
      <c r="G248" s="517"/>
      <c r="H248" s="517"/>
      <c r="I248" s="517"/>
      <c r="J248" s="515"/>
    </row>
    <row r="249" spans="1:11">
      <c r="A249" s="497" t="s">
        <v>534</v>
      </c>
      <c r="B249" s="497" t="s">
        <v>706</v>
      </c>
      <c r="C249" s="497" t="s">
        <v>178</v>
      </c>
      <c r="E249" s="506">
        <v>12538</v>
      </c>
      <c r="J249" s="497"/>
    </row>
    <row r="250" spans="1:11">
      <c r="A250" s="497" t="s">
        <v>540</v>
      </c>
      <c r="B250" s="497" t="s">
        <v>541</v>
      </c>
      <c r="C250" s="503" t="s">
        <v>232</v>
      </c>
      <c r="E250" s="506">
        <v>12538</v>
      </c>
      <c r="J250" s="497"/>
    </row>
    <row r="251" spans="1:11" s="64" customFormat="1">
      <c r="A251" s="515" t="s">
        <v>542</v>
      </c>
      <c r="B251" s="515" t="s">
        <v>607</v>
      </c>
      <c r="C251" s="526" t="s">
        <v>476</v>
      </c>
      <c r="D251" s="516"/>
      <c r="E251" s="516">
        <v>12538</v>
      </c>
      <c r="F251" s="517"/>
      <c r="G251" s="517"/>
      <c r="H251" s="517"/>
      <c r="I251" s="517"/>
      <c r="J251" s="515"/>
    </row>
    <row r="252" spans="1:11">
      <c r="A252" s="497" t="s">
        <v>370</v>
      </c>
      <c r="B252" s="497" t="s">
        <v>30</v>
      </c>
      <c r="C252" s="503" t="s">
        <v>700</v>
      </c>
      <c r="E252" s="506">
        <v>141.47</v>
      </c>
      <c r="J252" s="497"/>
    </row>
    <row r="253" spans="1:11" s="64" customFormat="1">
      <c r="A253" s="515" t="s">
        <v>31</v>
      </c>
      <c r="B253" s="515" t="s">
        <v>174</v>
      </c>
      <c r="C253" s="526" t="s">
        <v>273</v>
      </c>
      <c r="D253" s="516"/>
      <c r="E253" s="516">
        <v>141.47</v>
      </c>
      <c r="F253" s="517"/>
      <c r="G253" s="517"/>
      <c r="H253" s="517"/>
      <c r="I253" s="517"/>
      <c r="J253" s="515"/>
    </row>
    <row r="254" spans="1:11">
      <c r="A254" s="500" t="s">
        <v>175</v>
      </c>
      <c r="B254" s="500" t="s">
        <v>176</v>
      </c>
      <c r="C254" s="504" t="s">
        <v>274</v>
      </c>
      <c r="D254" s="507"/>
      <c r="E254" s="507">
        <v>1059745.31</v>
      </c>
      <c r="F254" s="512">
        <f>E254-D254</f>
        <v>1059745.31</v>
      </c>
      <c r="G254" s="512"/>
      <c r="H254" s="512"/>
      <c r="I254" s="512"/>
      <c r="J254" s="500"/>
      <c r="K254" s="504"/>
    </row>
    <row r="255" spans="1:11">
      <c r="A255" s="497" t="s">
        <v>102</v>
      </c>
      <c r="B255" s="497" t="s">
        <v>103</v>
      </c>
      <c r="C255" s="503" t="s">
        <v>275</v>
      </c>
      <c r="D255" s="506">
        <v>0.01</v>
      </c>
      <c r="J255" s="497" t="s">
        <v>276</v>
      </c>
    </row>
    <row r="257" spans="6:6">
      <c r="F257" s="511">
        <f>SUM(F12:F254)</f>
        <v>1.0000000009313226E-2</v>
      </c>
    </row>
  </sheetData>
  <mergeCells count="1">
    <mergeCell ref="D4:E4"/>
  </mergeCells>
  <printOptions horizontalCentered="1"/>
  <pageMargins left="0.05" right="0.05" top="1" bottom="1" header="0.5" footer="0.5"/>
  <pageSetup paperSize="0" scale="69" fitToHeight="27" orientation="landscape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pageSetUpPr fitToPage="1"/>
  </sheetPr>
  <dimension ref="A1:M60"/>
  <sheetViews>
    <sheetView workbookViewId="0">
      <pane ySplit="1" topLeftCell="A2" activePane="bottomLeft" state="frozenSplit"/>
      <selection pane="bottomLeft" activeCell="K3" sqref="K3"/>
    </sheetView>
  </sheetViews>
  <sheetFormatPr baseColWidth="10" defaultRowHeight="13" x14ac:dyDescent="0"/>
  <cols>
    <col min="2" max="2" width="4.140625" customWidth="1"/>
    <col min="3" max="3" width="26.42578125" customWidth="1"/>
    <col min="4" max="5" width="2.28515625" customWidth="1"/>
    <col min="6" max="6" width="14" style="627" bestFit="1" customWidth="1"/>
    <col min="7" max="9" width="12.140625" style="627" bestFit="1" customWidth="1"/>
    <col min="10" max="10" width="12.5703125" style="627" bestFit="1" customWidth="1"/>
    <col min="12" max="12" width="10.85546875" bestFit="1" customWidth="1"/>
  </cols>
  <sheetData>
    <row r="1" spans="1:11" s="227" customFormat="1" ht="14" thickBot="1">
      <c r="A1" s="616" t="s">
        <v>245</v>
      </c>
      <c r="B1" s="617"/>
      <c r="F1" s="632">
        <v>35734</v>
      </c>
      <c r="G1" s="632">
        <v>35764</v>
      </c>
      <c r="H1" s="632">
        <v>35795</v>
      </c>
      <c r="I1" s="632">
        <v>35826</v>
      </c>
      <c r="J1" s="632">
        <v>35855</v>
      </c>
    </row>
    <row r="2" spans="1:11">
      <c r="A2" s="155">
        <v>51</v>
      </c>
      <c r="C2" t="s">
        <v>246</v>
      </c>
      <c r="F2" s="627">
        <v>130848</v>
      </c>
      <c r="K2" s="409"/>
    </row>
    <row r="3" spans="1:11">
      <c r="A3" s="155">
        <v>53</v>
      </c>
      <c r="C3" t="s">
        <v>1610</v>
      </c>
      <c r="F3" s="627">
        <v>196</v>
      </c>
      <c r="K3" s="409" t="s">
        <v>797</v>
      </c>
    </row>
    <row r="4" spans="1:11">
      <c r="A4" s="633">
        <v>41</v>
      </c>
      <c r="B4" s="634"/>
      <c r="C4" s="634" t="s">
        <v>1611</v>
      </c>
      <c r="D4" s="634"/>
      <c r="E4" s="634"/>
      <c r="F4" s="635">
        <v>436913</v>
      </c>
      <c r="K4" s="409"/>
    </row>
    <row r="5" spans="1:11">
      <c r="A5" s="155">
        <v>49</v>
      </c>
      <c r="C5" t="s">
        <v>432</v>
      </c>
      <c r="F5" s="627">
        <v>-10025</v>
      </c>
      <c r="K5" s="409"/>
    </row>
    <row r="6" spans="1:11">
      <c r="A6" s="155">
        <v>45</v>
      </c>
      <c r="C6" t="s">
        <v>98</v>
      </c>
      <c r="F6" s="627">
        <v>4497</v>
      </c>
      <c r="K6" s="409"/>
    </row>
    <row r="7" spans="1:11">
      <c r="A7" s="155" t="s">
        <v>140</v>
      </c>
      <c r="C7" t="s">
        <v>378</v>
      </c>
      <c r="F7" s="627">
        <v>8620</v>
      </c>
      <c r="K7" s="409"/>
    </row>
    <row r="8" spans="1:11">
      <c r="A8" s="155">
        <v>3</v>
      </c>
      <c r="C8" t="s">
        <v>917</v>
      </c>
      <c r="F8" s="628">
        <v>48620</v>
      </c>
      <c r="K8" s="409"/>
    </row>
    <row r="9" spans="1:11">
      <c r="A9" s="155"/>
      <c r="K9" s="409"/>
    </row>
    <row r="10" spans="1:11">
      <c r="A10" s="155"/>
      <c r="C10" t="s">
        <v>373</v>
      </c>
      <c r="F10" s="628">
        <f>SUM(F2:F8)</f>
        <v>619669</v>
      </c>
      <c r="K10" s="409"/>
    </row>
    <row r="11" spans="1:11">
      <c r="A11" s="155"/>
      <c r="K11" s="409"/>
    </row>
    <row r="12" spans="1:11">
      <c r="A12" s="155"/>
      <c r="K12" s="409"/>
    </row>
    <row r="13" spans="1:11">
      <c r="A13" s="155">
        <v>21</v>
      </c>
      <c r="C13" t="s">
        <v>484</v>
      </c>
      <c r="F13" s="627">
        <v>461443</v>
      </c>
      <c r="K13" s="409"/>
    </row>
    <row r="14" spans="1:11">
      <c r="A14" s="155">
        <v>20</v>
      </c>
      <c r="C14" t="s">
        <v>850</v>
      </c>
      <c r="F14" s="627">
        <v>10767</v>
      </c>
      <c r="K14" s="409"/>
    </row>
    <row r="15" spans="1:11">
      <c r="A15" s="155">
        <v>281</v>
      </c>
      <c r="C15" t="s">
        <v>485</v>
      </c>
      <c r="F15" s="627">
        <v>-202195</v>
      </c>
      <c r="H15" s="627">
        <v>58415.4</v>
      </c>
      <c r="K15" s="409"/>
    </row>
    <row r="16" spans="1:11">
      <c r="A16" s="155">
        <v>48800400</v>
      </c>
      <c r="C16" t="s">
        <v>309</v>
      </c>
      <c r="F16" s="627">
        <v>-47804</v>
      </c>
      <c r="K16" s="409"/>
    </row>
    <row r="17" spans="1:13">
      <c r="A17" s="155">
        <v>280</v>
      </c>
      <c r="C17" t="s">
        <v>310</v>
      </c>
      <c r="F17" s="628">
        <v>-2138</v>
      </c>
      <c r="K17" s="409"/>
    </row>
    <row r="18" spans="1:13">
      <c r="A18" s="155"/>
      <c r="K18" s="409"/>
    </row>
    <row r="19" spans="1:13">
      <c r="A19" s="155"/>
      <c r="C19" t="s">
        <v>172</v>
      </c>
      <c r="F19" s="628">
        <f>SUM(F13:F17)</f>
        <v>220073</v>
      </c>
      <c r="K19" s="409"/>
    </row>
    <row r="20" spans="1:13">
      <c r="A20" s="155"/>
      <c r="K20" s="409"/>
    </row>
    <row r="21" spans="1:13">
      <c r="A21" s="155">
        <v>32</v>
      </c>
      <c r="C21" t="s">
        <v>464</v>
      </c>
      <c r="F21" s="627">
        <f>'CAEE BS Nov'!D45</f>
        <v>12719.31</v>
      </c>
      <c r="K21" s="409"/>
    </row>
    <row r="22" spans="1:13">
      <c r="A22" s="155">
        <v>27</v>
      </c>
      <c r="C22" t="s">
        <v>1018</v>
      </c>
      <c r="F22" s="628">
        <v>4540</v>
      </c>
      <c r="K22" s="409"/>
    </row>
    <row r="23" spans="1:13">
      <c r="A23" s="155"/>
      <c r="K23" s="409"/>
    </row>
    <row r="24" spans="1:13">
      <c r="A24" s="155"/>
      <c r="C24" t="s">
        <v>90</v>
      </c>
      <c r="F24" s="627">
        <f>F21+F22</f>
        <v>17259.309999999998</v>
      </c>
      <c r="K24" s="409"/>
    </row>
    <row r="25" spans="1:13">
      <c r="A25" s="155"/>
      <c r="K25" s="409"/>
    </row>
    <row r="26" spans="1:13" ht="14" thickBot="1">
      <c r="A26" s="155"/>
      <c r="D26" t="s">
        <v>852</v>
      </c>
      <c r="F26" s="629">
        <f>F10+F19+F24</f>
        <v>857001.31</v>
      </c>
      <c r="J26" s="630"/>
      <c r="K26" s="409"/>
    </row>
    <row r="27" spans="1:13" ht="14" thickTop="1">
      <c r="A27" s="155"/>
      <c r="J27" s="630"/>
      <c r="K27" s="618"/>
      <c r="L27" s="209"/>
      <c r="M27" s="209"/>
    </row>
    <row r="28" spans="1:13">
      <c r="A28" s="155"/>
      <c r="J28" s="630"/>
      <c r="K28" s="618"/>
      <c r="L28" s="209"/>
      <c r="M28" s="209"/>
    </row>
    <row r="29" spans="1:13">
      <c r="A29" s="155" t="s">
        <v>1350</v>
      </c>
      <c r="C29" t="s">
        <v>1349</v>
      </c>
      <c r="F29" s="631">
        <f>B57-B58</f>
        <v>1686.111111111124</v>
      </c>
      <c r="J29" s="630"/>
      <c r="K29" s="618"/>
      <c r="L29" s="209"/>
      <c r="M29" s="209"/>
    </row>
    <row r="30" spans="1:13">
      <c r="A30" s="155" t="s">
        <v>1046</v>
      </c>
      <c r="C30" t="s">
        <v>465</v>
      </c>
      <c r="F30" s="627">
        <f>B58</f>
        <v>329428.88888888888</v>
      </c>
      <c r="J30" s="630"/>
      <c r="K30" s="618"/>
      <c r="L30" s="209"/>
      <c r="M30" s="209"/>
    </row>
    <row r="31" spans="1:13">
      <c r="A31" s="155">
        <v>42</v>
      </c>
      <c r="C31" t="s">
        <v>956</v>
      </c>
      <c r="F31" s="627">
        <v>-5043</v>
      </c>
      <c r="J31" s="630"/>
      <c r="K31" s="618"/>
      <c r="L31" s="209"/>
      <c r="M31" s="209"/>
    </row>
    <row r="32" spans="1:13">
      <c r="A32" s="155">
        <v>43</v>
      </c>
      <c r="C32" t="s">
        <v>655</v>
      </c>
      <c r="F32" s="627">
        <v>21305</v>
      </c>
      <c r="J32" s="630"/>
      <c r="K32" s="618"/>
      <c r="L32" s="209"/>
      <c r="M32" s="209"/>
    </row>
    <row r="33" spans="1:13">
      <c r="A33" s="155">
        <v>44</v>
      </c>
      <c r="C33" t="s">
        <v>656</v>
      </c>
      <c r="F33" s="627">
        <v>26855</v>
      </c>
      <c r="K33" s="618"/>
      <c r="L33" s="209"/>
      <c r="M33" s="209"/>
    </row>
    <row r="34" spans="1:13">
      <c r="A34" s="155">
        <v>46</v>
      </c>
      <c r="C34" t="s">
        <v>551</v>
      </c>
      <c r="F34" s="627">
        <v>4</v>
      </c>
      <c r="K34" s="409"/>
    </row>
    <row r="35" spans="1:13">
      <c r="A35" s="155" t="s">
        <v>714</v>
      </c>
      <c r="C35" t="s">
        <v>1025</v>
      </c>
      <c r="F35" s="627">
        <f>J39/3</f>
        <v>31009.333333333332</v>
      </c>
      <c r="K35" s="409"/>
    </row>
    <row r="36" spans="1:13">
      <c r="A36" s="155">
        <v>48860200</v>
      </c>
      <c r="C36" t="s">
        <v>552</v>
      </c>
      <c r="F36" s="628">
        <v>12005</v>
      </c>
      <c r="K36" s="409"/>
    </row>
    <row r="37" spans="1:13">
      <c r="A37" s="155"/>
      <c r="K37" s="409"/>
    </row>
    <row r="38" spans="1:13">
      <c r="A38" s="155"/>
      <c r="C38" t="s">
        <v>383</v>
      </c>
      <c r="F38" s="628">
        <f>SUM(F29:F36)</f>
        <v>417250.33333333331</v>
      </c>
      <c r="K38" s="409"/>
    </row>
    <row r="39" spans="1:13">
      <c r="A39" s="155"/>
      <c r="J39" s="628">
        <v>93028</v>
      </c>
      <c r="K39" s="409"/>
    </row>
    <row r="40" spans="1:13">
      <c r="A40" s="155" t="s">
        <v>715</v>
      </c>
      <c r="C40" t="s">
        <v>1024</v>
      </c>
      <c r="F40" s="628">
        <f>J39-F35</f>
        <v>62018.666666666672</v>
      </c>
      <c r="K40" s="409"/>
    </row>
    <row r="41" spans="1:13">
      <c r="A41" s="155"/>
      <c r="K41" s="409"/>
    </row>
    <row r="42" spans="1:13">
      <c r="A42" s="155"/>
      <c r="K42" s="409"/>
    </row>
    <row r="43" spans="1:13">
      <c r="A43" s="155"/>
      <c r="D43" t="s">
        <v>643</v>
      </c>
      <c r="F43" s="628">
        <f>F38+F40</f>
        <v>479269</v>
      </c>
      <c r="K43" s="409"/>
    </row>
    <row r="44" spans="1:13">
      <c r="A44" s="155"/>
      <c r="K44" s="409"/>
    </row>
    <row r="45" spans="1:13">
      <c r="A45" s="155"/>
      <c r="K45" s="409"/>
    </row>
    <row r="46" spans="1:13">
      <c r="A46" s="155">
        <v>10</v>
      </c>
      <c r="C46" t="s">
        <v>1597</v>
      </c>
      <c r="F46" s="627">
        <v>366768</v>
      </c>
      <c r="K46" s="409"/>
    </row>
    <row r="47" spans="1:13">
      <c r="A47" s="155">
        <v>11900000</v>
      </c>
      <c r="C47" t="s">
        <v>1488</v>
      </c>
      <c r="F47" s="627">
        <v>-201234</v>
      </c>
      <c r="K47" s="409"/>
    </row>
    <row r="48" spans="1:13">
      <c r="A48" s="155"/>
      <c r="C48" t="s">
        <v>1598</v>
      </c>
      <c r="F48" s="628">
        <v>199480</v>
      </c>
      <c r="K48" s="409"/>
    </row>
    <row r="49" spans="1:11">
      <c r="A49" s="155"/>
      <c r="K49" s="409"/>
    </row>
    <row r="50" spans="1:11">
      <c r="A50" s="155"/>
      <c r="D50" t="s">
        <v>1599</v>
      </c>
      <c r="F50" s="628">
        <f>SUM(F46:F48)</f>
        <v>365014</v>
      </c>
      <c r="K50" s="409"/>
    </row>
    <row r="51" spans="1:11">
      <c r="A51" s="155"/>
      <c r="K51" s="409"/>
    </row>
    <row r="52" spans="1:11">
      <c r="A52" s="155"/>
      <c r="K52" s="409"/>
    </row>
    <row r="53" spans="1:11" ht="14" thickBot="1">
      <c r="A53" s="155"/>
      <c r="D53" t="s">
        <v>278</v>
      </c>
      <c r="F53" s="629">
        <f>F43+F50</f>
        <v>844283</v>
      </c>
      <c r="K53" s="409"/>
    </row>
    <row r="54" spans="1:11" ht="15" thickTop="1" thickBot="1">
      <c r="A54" s="155"/>
    </row>
    <row r="55" spans="1:11" ht="14" thickBot="1">
      <c r="A55" s="155"/>
      <c r="B55" s="143" t="s">
        <v>200</v>
      </c>
      <c r="C55" s="547"/>
      <c r="D55" s="547"/>
      <c r="E55" s="223"/>
    </row>
    <row r="56" spans="1:11">
      <c r="A56" s="155"/>
      <c r="B56" s="543" t="s">
        <v>384</v>
      </c>
      <c r="C56" s="209"/>
      <c r="D56" s="543" t="s">
        <v>385</v>
      </c>
      <c r="E56" s="226"/>
    </row>
    <row r="57" spans="1:11" ht="14" thickBot="1">
      <c r="B57" s="544">
        <v>331115</v>
      </c>
      <c r="C57" s="209"/>
      <c r="D57" s="329" t="s">
        <v>382</v>
      </c>
      <c r="E57" s="226"/>
    </row>
    <row r="58" spans="1:11" ht="14" thickBot="1">
      <c r="B58" s="539">
        <f>296486/0.9</f>
        <v>329428.88888888888</v>
      </c>
      <c r="C58" s="209"/>
      <c r="D58" s="408">
        <v>278718.32</v>
      </c>
      <c r="E58" s="226"/>
    </row>
    <row r="59" spans="1:11">
      <c r="B59" s="548"/>
      <c r="C59" s="209"/>
      <c r="D59" s="209"/>
      <c r="E59" s="226"/>
    </row>
    <row r="60" spans="1:11" ht="14" thickBot="1">
      <c r="B60" s="549" t="s">
        <v>199</v>
      </c>
      <c r="C60" s="550">
        <f>B58-D58</f>
        <v>50710.568888888869</v>
      </c>
      <c r="D60" s="227"/>
      <c r="E60" s="228"/>
    </row>
  </sheetData>
  <pageMargins left="0.75" right="0.75" top="1" bottom="1" header="0.5" footer="0.5"/>
  <pageSetup paperSize="0" scale="74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pageSetUpPr fitToPage="1"/>
  </sheetPr>
  <dimension ref="A1:AS42"/>
  <sheetViews>
    <sheetView workbookViewId="0">
      <pane xSplit="1" ySplit="2" topLeftCell="B3" activePane="bottomRight" state="frozenSplit"/>
      <selection pane="topRight"/>
      <selection pane="bottomLeft"/>
      <selection pane="bottomRight" activeCell="L13" sqref="L13"/>
    </sheetView>
  </sheetViews>
  <sheetFormatPr baseColWidth="10" defaultRowHeight="13" x14ac:dyDescent="0"/>
  <cols>
    <col min="1" max="1" width="25" customWidth="1"/>
    <col min="2" max="2" width="0.7109375" customWidth="1"/>
    <col min="3" max="6" width="0.42578125" customWidth="1"/>
    <col min="7" max="7" width="13.42578125" hidden="1" customWidth="1"/>
    <col min="8" max="8" width="12" hidden="1" customWidth="1"/>
    <col min="9" max="9" width="12" customWidth="1"/>
    <col min="10" max="10" width="13.140625" bestFit="1" customWidth="1"/>
    <col min="15" max="15" width="12" bestFit="1" customWidth="1"/>
    <col min="16" max="16" width="11.85546875" bestFit="1" customWidth="1"/>
  </cols>
  <sheetData>
    <row r="1" spans="1:45" ht="174">
      <c r="B1" s="132" t="s">
        <v>785</v>
      </c>
      <c r="C1" s="132" t="s">
        <v>785</v>
      </c>
      <c r="D1" s="132" t="s">
        <v>785</v>
      </c>
      <c r="E1" s="132" t="s">
        <v>785</v>
      </c>
      <c r="F1" s="132" t="s">
        <v>785</v>
      </c>
      <c r="G1" s="132" t="s">
        <v>785</v>
      </c>
      <c r="H1" s="486" t="s">
        <v>1613</v>
      </c>
      <c r="I1" s="485" t="s">
        <v>1612</v>
      </c>
      <c r="J1" s="486" t="s">
        <v>1613</v>
      </c>
      <c r="K1" s="132" t="s">
        <v>1169</v>
      </c>
      <c r="L1" s="132" t="s">
        <v>807</v>
      </c>
      <c r="M1" s="132" t="s">
        <v>1499</v>
      </c>
      <c r="N1" s="132" t="s">
        <v>1281</v>
      </c>
      <c r="O1" s="132" t="s">
        <v>1249</v>
      </c>
      <c r="P1" s="201"/>
    </row>
    <row r="2" spans="1:45">
      <c r="B2" s="238">
        <v>35095</v>
      </c>
      <c r="C2" s="238">
        <v>35216</v>
      </c>
      <c r="D2" s="238">
        <v>35338</v>
      </c>
      <c r="E2" s="238">
        <v>35488</v>
      </c>
      <c r="F2" s="238">
        <v>35581</v>
      </c>
      <c r="G2" s="238">
        <v>35732</v>
      </c>
      <c r="H2" s="238">
        <v>35703</v>
      </c>
      <c r="I2" s="238">
        <v>35734</v>
      </c>
      <c r="J2" s="238">
        <v>35734</v>
      </c>
      <c r="K2" s="238">
        <v>35033</v>
      </c>
      <c r="L2" s="238">
        <v>34972</v>
      </c>
      <c r="M2" s="238">
        <v>34942</v>
      </c>
    </row>
    <row r="3" spans="1:45" s="540" customFormat="1">
      <c r="A3" s="540" t="s">
        <v>1029</v>
      </c>
      <c r="B3" s="541"/>
      <c r="C3" s="541"/>
      <c r="D3" s="541"/>
      <c r="E3" s="541"/>
      <c r="F3" s="541"/>
      <c r="G3" s="541"/>
      <c r="H3" s="541"/>
      <c r="I3" s="541"/>
      <c r="J3" s="542">
        <v>0.9</v>
      </c>
      <c r="K3" s="541"/>
      <c r="L3" s="541"/>
      <c r="M3" s="541"/>
    </row>
    <row r="4" spans="1:45">
      <c r="B4" s="238"/>
      <c r="C4" s="238"/>
      <c r="D4" s="238"/>
      <c r="E4" s="238"/>
      <c r="F4" s="238"/>
      <c r="G4" s="238"/>
      <c r="H4" s="238"/>
      <c r="I4" s="238"/>
      <c r="J4" s="638"/>
      <c r="K4" s="238"/>
      <c r="L4" s="238"/>
      <c r="M4" s="238"/>
    </row>
    <row r="5" spans="1:45">
      <c r="B5" s="238"/>
    </row>
    <row r="6" spans="1:45">
      <c r="A6" s="256" t="s">
        <v>1552</v>
      </c>
      <c r="B6" s="465">
        <v>2370000</v>
      </c>
      <c r="C6" s="465"/>
      <c r="D6" s="465"/>
      <c r="E6" s="465"/>
      <c r="F6" s="465"/>
      <c r="G6" s="259">
        <v>386292</v>
      </c>
      <c r="H6" s="259"/>
      <c r="I6" s="259"/>
      <c r="J6" s="551">
        <f>'CAEE BS Liz'!F4</f>
        <v>436913</v>
      </c>
      <c r="K6" s="238">
        <v>35095</v>
      </c>
      <c r="L6" s="238"/>
      <c r="M6" s="151"/>
      <c r="N6" s="238"/>
      <c r="O6" s="465">
        <v>12069720</v>
      </c>
      <c r="P6" s="466">
        <v>2370000</v>
      </c>
      <c r="Q6" s="465">
        <v>378734.46</v>
      </c>
      <c r="R6" s="465">
        <v>685081</v>
      </c>
      <c r="S6" s="465">
        <v>2582502.86</v>
      </c>
      <c r="T6" s="465"/>
      <c r="U6" s="465">
        <v>2903280.06</v>
      </c>
      <c r="V6" s="142">
        <f>S6-Q6-R6</f>
        <v>1518687.4</v>
      </c>
      <c r="W6" s="465">
        <v>227278.47</v>
      </c>
      <c r="X6" s="465">
        <v>1166706</v>
      </c>
      <c r="Y6" s="465">
        <v>428000</v>
      </c>
      <c r="Z6" s="142">
        <v>1594706</v>
      </c>
      <c r="AA6" s="467">
        <v>637882.4</v>
      </c>
      <c r="AB6" s="142">
        <f>Z6-AA6</f>
        <v>956823.6</v>
      </c>
      <c r="AC6" s="468">
        <f>9*(1.005)^2</f>
        <v>9.0902249999999967</v>
      </c>
      <c r="AD6" s="142">
        <f>AB6*AC6</f>
        <v>8697741.8093099967</v>
      </c>
      <c r="AE6" s="142">
        <v>4091736</v>
      </c>
      <c r="AF6" s="142">
        <f>W6</f>
        <v>227278.47</v>
      </c>
      <c r="AG6" s="467">
        <f>(P6-Q6-V6)*0.24</f>
        <v>113418.75360000003</v>
      </c>
      <c r="AH6" s="142">
        <f>AD6-AE6+AF6-AG6</f>
        <v>4719865.525709996</v>
      </c>
      <c r="AI6" s="142">
        <f>U6</f>
        <v>2903280.06</v>
      </c>
      <c r="AJ6" s="142">
        <f>AVERAGE(AH6:AI6)</f>
        <v>3811572.7928549983</v>
      </c>
      <c r="AK6" s="260">
        <v>122940</v>
      </c>
      <c r="AL6" s="266">
        <f>AJ6/AK6</f>
        <v>31.003520358345519</v>
      </c>
      <c r="AM6" s="266">
        <v>31.003520358345519</v>
      </c>
    </row>
    <row r="7" spans="1:45">
      <c r="A7" s="256" t="s">
        <v>1402</v>
      </c>
      <c r="B7" s="465">
        <v>378734.46</v>
      </c>
      <c r="C7" s="465"/>
      <c r="D7" s="465"/>
      <c r="E7" s="465"/>
      <c r="F7" s="256"/>
      <c r="G7" s="465">
        <f>38718</f>
        <v>38718</v>
      </c>
      <c r="H7" s="259"/>
      <c r="I7" s="259"/>
      <c r="J7" s="551">
        <f>'CAEE BS Liz'!F29</f>
        <v>1686.111111111124</v>
      </c>
      <c r="K7" s="238">
        <v>35216</v>
      </c>
      <c r="M7" s="465">
        <f>2499047+237164-62000+263197+1581.5</f>
        <v>2938989.5</v>
      </c>
      <c r="N7" s="465">
        <f>569192+63967.27</f>
        <v>633159.27</v>
      </c>
      <c r="O7" s="465">
        <v>660383</v>
      </c>
      <c r="P7" s="465"/>
      <c r="Q7" s="465">
        <v>2529126</v>
      </c>
      <c r="R7" s="465"/>
      <c r="S7" s="465"/>
      <c r="T7" s="465"/>
      <c r="U7" s="465">
        <v>3694878</v>
      </c>
      <c r="V7" s="142">
        <f>Q7-N7-O7</f>
        <v>1235583.73</v>
      </c>
      <c r="W7" s="465">
        <v>102989</v>
      </c>
      <c r="X7" s="465">
        <v>1628153</v>
      </c>
      <c r="Y7" s="465">
        <v>418410</v>
      </c>
      <c r="Z7" s="142">
        <f>X7+Y7</f>
        <v>2046563</v>
      </c>
      <c r="AA7" s="467">
        <f>Z7*0.4</f>
        <v>818625.20000000007</v>
      </c>
      <c r="AB7" s="142">
        <f>Z7-AA7</f>
        <v>1227937.7999999998</v>
      </c>
      <c r="AC7" s="64">
        <v>9.27</v>
      </c>
      <c r="AD7" s="142">
        <f>AB7*AC7</f>
        <v>11382983.405999998</v>
      </c>
      <c r="AE7" s="142">
        <v>4091736</v>
      </c>
      <c r="AF7" s="142">
        <v>102989</v>
      </c>
      <c r="AG7" s="467">
        <f>(M7-N7-V7)*0.24</f>
        <v>256859.16</v>
      </c>
      <c r="AH7" s="142">
        <f>AD7-AE7+AF7-AG7</f>
        <v>7137377.2459999975</v>
      </c>
      <c r="AI7" s="142">
        <v>3694878</v>
      </c>
      <c r="AJ7" s="142">
        <f>AVERAGE(AH7:AI7)</f>
        <v>5416127.6229999987</v>
      </c>
      <c r="AK7">
        <v>122940</v>
      </c>
      <c r="AL7" s="290">
        <f>AJ7/AK7</f>
        <v>44.055048177972985</v>
      </c>
      <c r="AM7" s="290">
        <v>44.055048177972985</v>
      </c>
      <c r="AN7" s="290"/>
    </row>
    <row r="8" spans="1:45">
      <c r="A8" s="256" t="s">
        <v>874</v>
      </c>
      <c r="B8" s="465">
        <v>12069720</v>
      </c>
      <c r="C8" s="465"/>
      <c r="D8" s="465"/>
      <c r="E8" s="465"/>
      <c r="F8" s="256"/>
      <c r="G8" s="465">
        <v>33309</v>
      </c>
      <c r="H8" s="465"/>
      <c r="I8" s="465"/>
      <c r="J8" s="552">
        <f>'CAEE BS Liz'!F30+'CAEE BS Liz'!F40</f>
        <v>391447.55555555556</v>
      </c>
      <c r="K8" s="238">
        <v>35338</v>
      </c>
      <c r="M8" s="465">
        <f>2580560+531921-70000+161485+6000+4952</f>
        <v>3214918</v>
      </c>
      <c r="N8" s="465">
        <f>493545+32065</f>
        <v>525610</v>
      </c>
      <c r="O8" s="465">
        <f>350000+256300+4885+160000+384233+16150</f>
        <v>1171568</v>
      </c>
      <c r="P8" s="465">
        <v>2888622</v>
      </c>
      <c r="Q8" s="465">
        <v>2519975</v>
      </c>
      <c r="R8" s="465">
        <v>208318.19</v>
      </c>
      <c r="S8" s="465">
        <v>375000</v>
      </c>
      <c r="T8" s="465">
        <v>172918</v>
      </c>
      <c r="U8" s="259">
        <f>4385034-375000</f>
        <v>4010034</v>
      </c>
      <c r="V8" s="142">
        <f>Q8-N8-O8-T8</f>
        <v>649879</v>
      </c>
      <c r="W8" s="465">
        <v>196940</v>
      </c>
      <c r="X8" s="465">
        <v>1886192</v>
      </c>
      <c r="Y8" s="288">
        <f>32927+ 35479+348350</f>
        <v>416756</v>
      </c>
      <c r="Z8" s="142">
        <f>X8+Y8</f>
        <v>2302948</v>
      </c>
      <c r="AA8" s="467">
        <f>Z8*0.4</f>
        <v>921179.20000000007</v>
      </c>
      <c r="AB8" s="142">
        <f>Z8-AA8</f>
        <v>1381768.7999999998</v>
      </c>
      <c r="AC8" s="286">
        <v>9.2799999999999994</v>
      </c>
      <c r="AD8" s="142">
        <f>AB8*AC8</f>
        <v>12822814.463999998</v>
      </c>
      <c r="AE8" s="142">
        <f>O8</f>
        <v>1171568</v>
      </c>
      <c r="AF8" s="142">
        <f>W8</f>
        <v>196940</v>
      </c>
      <c r="AG8" s="467">
        <f>(M8-N8-V8)*0.2</f>
        <v>407885.80000000005</v>
      </c>
      <c r="AH8" s="142">
        <f>AD8-AE8+AF8-AG8</f>
        <v>11440300.663999997</v>
      </c>
      <c r="AI8" s="142">
        <f>U8</f>
        <v>4010034</v>
      </c>
      <c r="AJ8" s="142">
        <f>AVERAGE(AH8:AI8)</f>
        <v>7725167.3319999985</v>
      </c>
      <c r="AK8" s="256">
        <v>122940</v>
      </c>
      <c r="AL8" s="290">
        <f>AJ8/AK8</f>
        <v>62.83689061330729</v>
      </c>
      <c r="AM8">
        <v>54.35</v>
      </c>
      <c r="AN8" s="290"/>
    </row>
    <row r="9" spans="1:45">
      <c r="A9" s="256" t="s">
        <v>839</v>
      </c>
      <c r="B9" s="466">
        <v>2370000</v>
      </c>
      <c r="C9" s="465"/>
      <c r="D9" s="465"/>
      <c r="E9" s="465"/>
      <c r="F9" s="256"/>
      <c r="G9" s="465">
        <v>58046</v>
      </c>
      <c r="H9" s="259"/>
      <c r="I9" s="259"/>
      <c r="J9" s="551">
        <f>'CAEE BS Liz'!F40</f>
        <v>62018.666666666672</v>
      </c>
      <c r="K9" s="238">
        <v>35488</v>
      </c>
      <c r="M9" s="465">
        <f>2480497.36+246386.76-75000+223186.55+816</f>
        <v>2875886.67</v>
      </c>
      <c r="N9" s="465">
        <f>304939+25205</f>
        <v>330144</v>
      </c>
      <c r="O9" s="465">
        <f>429000+284233+3820.43+160000+16234</f>
        <v>893287.43</v>
      </c>
      <c r="P9" s="465">
        <v>2748717.43</v>
      </c>
      <c r="Q9" s="465">
        <v>2767603</v>
      </c>
      <c r="R9" s="465"/>
      <c r="S9" s="465">
        <v>606185.23</v>
      </c>
      <c r="T9" s="465">
        <v>252176</v>
      </c>
      <c r="U9" s="259">
        <v>4057168</v>
      </c>
      <c r="V9" s="142">
        <f>Q9-N9-O9-T9+S9</f>
        <v>1898180.7999999998</v>
      </c>
      <c r="W9" s="465">
        <v>224332</v>
      </c>
      <c r="X9" s="465">
        <v>2003081</v>
      </c>
      <c r="Y9" s="288">
        <v>399387</v>
      </c>
      <c r="Z9" s="142">
        <f>X9+Y9+S9</f>
        <v>3008653.23</v>
      </c>
      <c r="AA9" s="467">
        <f>Z9*0.4</f>
        <v>1203461.2920000001</v>
      </c>
      <c r="AB9" s="142">
        <f>Z9-AA9</f>
        <v>1805191.9379999998</v>
      </c>
      <c r="AC9" s="286">
        <f>AS9</f>
        <v>5.811025970801782</v>
      </c>
      <c r="AD9" s="142">
        <f>AB9*AC9</f>
        <v>10490017.233999999</v>
      </c>
      <c r="AE9" s="142">
        <f>O9+P9</f>
        <v>3642004.8600000003</v>
      </c>
      <c r="AF9" s="142">
        <f>W9</f>
        <v>224332</v>
      </c>
      <c r="AG9" s="467">
        <f>(M9-N9-V9)*0.2</f>
        <v>129512.37400000003</v>
      </c>
      <c r="AH9" s="142">
        <f>AD9-AE9+AF9-AG9</f>
        <v>6942831.9999999991</v>
      </c>
      <c r="AI9" s="142">
        <f>U9</f>
        <v>4057168</v>
      </c>
      <c r="AJ9" s="142">
        <f>AVERAGE(AH9:AI9)</f>
        <v>5500000</v>
      </c>
      <c r="AK9" s="256">
        <v>123040</v>
      </c>
      <c r="AL9" s="290">
        <f>AJ9/AK9</f>
        <v>44.700910273081924</v>
      </c>
      <c r="AM9" s="290">
        <v>44.700910273081924</v>
      </c>
      <c r="AP9" s="142">
        <v>5500000</v>
      </c>
      <c r="AQ9" s="141">
        <f>(AP9-U9)*2+U9</f>
        <v>6942832</v>
      </c>
      <c r="AS9">
        <f>(AQ9+AE9-AF9+AG9)/AB9</f>
        <v>5.811025970801782</v>
      </c>
    </row>
    <row r="10" spans="1:45">
      <c r="A10" s="256" t="s">
        <v>1231</v>
      </c>
      <c r="B10" s="465">
        <v>378734.46</v>
      </c>
      <c r="C10" s="465"/>
      <c r="D10" s="465"/>
      <c r="E10" s="465"/>
      <c r="F10" s="256"/>
      <c r="G10" s="483">
        <f>400000+G40</f>
        <v>500000</v>
      </c>
      <c r="H10" s="483"/>
      <c r="I10" s="483"/>
      <c r="J10" s="551">
        <f>'CAEE BS Liz'!F38</f>
        <v>417250.33333333331</v>
      </c>
      <c r="K10" s="238">
        <v>35581</v>
      </c>
      <c r="M10" s="286"/>
      <c r="N10" s="256"/>
      <c r="O10" s="256"/>
      <c r="P10" s="256"/>
      <c r="Q10" s="256"/>
      <c r="R10" s="256"/>
      <c r="S10" s="256"/>
      <c r="T10" s="256"/>
      <c r="U10" s="256"/>
      <c r="V10" s="142">
        <f>Q10-N10-O10-T10+S10</f>
        <v>0</v>
      </c>
      <c r="W10" s="256"/>
      <c r="X10" s="256"/>
      <c r="Y10" s="256"/>
      <c r="Z10" s="142">
        <f>X10+Y10+S10</f>
        <v>0</v>
      </c>
      <c r="AA10" s="467">
        <f>Z10*0.4</f>
        <v>0</v>
      </c>
      <c r="AB10" s="142">
        <f>Z10-AA10</f>
        <v>0</v>
      </c>
      <c r="AC10" s="445">
        <f>AS10</f>
        <v>0</v>
      </c>
      <c r="AD10" s="142">
        <f>AB10*AC10</f>
        <v>0</v>
      </c>
      <c r="AE10" s="142">
        <f>O10+P10</f>
        <v>0</v>
      </c>
      <c r="AF10" s="142">
        <f>W10</f>
        <v>0</v>
      </c>
      <c r="AG10" s="467">
        <f>(M10-N10-V10)*0.2</f>
        <v>0</v>
      </c>
      <c r="AH10" s="142">
        <f>AD10-AE10+AF10-AG10</f>
        <v>0</v>
      </c>
      <c r="AI10" s="142">
        <f>U10</f>
        <v>0</v>
      </c>
      <c r="AJ10" s="142">
        <f>AVERAGE(AH10:AI10)</f>
        <v>0</v>
      </c>
      <c r="AK10" s="256">
        <v>123040</v>
      </c>
      <c r="AL10" s="290">
        <f>AJ10/AK10</f>
        <v>0</v>
      </c>
      <c r="AM10">
        <v>54.33</v>
      </c>
    </row>
    <row r="11" spans="1:45">
      <c r="A11" s="256" t="s">
        <v>347</v>
      </c>
      <c r="B11" s="465">
        <v>685081</v>
      </c>
      <c r="C11" s="465"/>
      <c r="D11" s="465"/>
      <c r="E11" s="465"/>
      <c r="F11" s="256"/>
      <c r="G11" s="465">
        <v>1</v>
      </c>
      <c r="H11" s="259"/>
      <c r="I11" s="259"/>
      <c r="J11" s="551">
        <v>0</v>
      </c>
    </row>
    <row r="12" spans="1:45">
      <c r="A12" s="256" t="s">
        <v>1481</v>
      </c>
      <c r="B12" s="465">
        <v>2582502.86</v>
      </c>
      <c r="C12" s="465"/>
      <c r="D12" s="465"/>
      <c r="E12" s="465"/>
      <c r="F12" s="256"/>
      <c r="G12" s="465">
        <v>1</v>
      </c>
      <c r="H12" s="259"/>
      <c r="I12" s="259"/>
      <c r="J12" s="551">
        <v>0</v>
      </c>
    </row>
    <row r="13" spans="1:45">
      <c r="A13" s="256" t="s">
        <v>1289</v>
      </c>
      <c r="B13" s="465"/>
      <c r="C13" s="465"/>
      <c r="D13" s="465"/>
      <c r="E13" s="465"/>
      <c r="F13" s="256"/>
      <c r="G13" s="465">
        <f>268245</f>
        <v>268245</v>
      </c>
      <c r="H13" s="259"/>
      <c r="I13" s="259"/>
      <c r="J13" s="551">
        <f>'CAEE BS Liz'!F30</f>
        <v>329428.88888888888</v>
      </c>
    </row>
    <row r="14" spans="1:45">
      <c r="A14" s="256" t="s">
        <v>1150</v>
      </c>
      <c r="B14" s="465">
        <v>2903280.06</v>
      </c>
      <c r="C14" s="465"/>
      <c r="D14" s="259"/>
      <c r="E14" s="259"/>
      <c r="F14" s="256"/>
      <c r="G14" s="259">
        <v>150000</v>
      </c>
      <c r="H14" s="259"/>
      <c r="I14" s="259"/>
      <c r="J14" s="551">
        <f>'CAEE BS Liz'!F50</f>
        <v>365014</v>
      </c>
    </row>
    <row r="15" spans="1:45">
      <c r="A15" t="s">
        <v>472</v>
      </c>
      <c r="B15" s="142">
        <f>B12-B10-B11</f>
        <v>1518687.4</v>
      </c>
      <c r="C15" s="142">
        <f>C10-C7-C8</f>
        <v>0</v>
      </c>
      <c r="D15" s="142">
        <f>D10-D7-D8-D13</f>
        <v>0</v>
      </c>
      <c r="E15" s="142">
        <f>E10-E7-E8-E13+E12</f>
        <v>0</v>
      </c>
      <c r="F15" s="142">
        <f>F10-F7-F8-F13+F12</f>
        <v>0</v>
      </c>
      <c r="G15" s="142">
        <f>G10-G7-G8-G13+G12</f>
        <v>159729</v>
      </c>
      <c r="H15" s="142"/>
      <c r="I15" s="142"/>
      <c r="J15" s="553">
        <f>J10-J7-J8</f>
        <v>24116.666666666628</v>
      </c>
    </row>
    <row r="16" spans="1:45">
      <c r="A16" s="256" t="s">
        <v>1133</v>
      </c>
      <c r="B16" s="465">
        <v>227278.47</v>
      </c>
      <c r="C16" s="465"/>
      <c r="D16" s="465"/>
      <c r="E16" s="465"/>
      <c r="F16" s="256"/>
      <c r="G16" s="465">
        <v>96089</v>
      </c>
      <c r="H16" s="256"/>
      <c r="I16" s="256"/>
      <c r="J16" s="554">
        <f>'CAEE BS Liz'!F2+'CAEE BS Liz'!F3</f>
        <v>131044</v>
      </c>
    </row>
    <row r="17" spans="1:13">
      <c r="A17" s="256" t="s">
        <v>674</v>
      </c>
      <c r="B17" s="465">
        <v>1166706</v>
      </c>
      <c r="C17" s="465"/>
      <c r="D17" s="465"/>
      <c r="E17" s="465"/>
      <c r="F17" s="256"/>
      <c r="G17" s="465">
        <v>124434.8</v>
      </c>
      <c r="H17" s="256"/>
      <c r="I17" s="256"/>
      <c r="J17" s="555">
        <f>'CAEE Data'!R51/J3</f>
        <v>606268.88888888888</v>
      </c>
    </row>
    <row r="18" spans="1:13">
      <c r="A18" s="256" t="s">
        <v>365</v>
      </c>
      <c r="B18" s="465">
        <v>428000</v>
      </c>
      <c r="C18" s="465"/>
      <c r="D18" s="465"/>
      <c r="E18" s="465"/>
      <c r="F18" s="465"/>
      <c r="G18" s="465">
        <v>6000</v>
      </c>
      <c r="H18" s="256"/>
      <c r="I18" s="256"/>
      <c r="J18" s="554">
        <v>6300</v>
      </c>
    </row>
    <row r="19" spans="1:13">
      <c r="A19" t="s">
        <v>800</v>
      </c>
      <c r="B19" s="142">
        <v>1594706</v>
      </c>
      <c r="C19" s="142">
        <f>C17+C18</f>
        <v>0</v>
      </c>
      <c r="D19" s="142">
        <f>D17+D18</f>
        <v>0</v>
      </c>
      <c r="E19" s="142">
        <f>E17+E18+E12</f>
        <v>0</v>
      </c>
      <c r="F19" s="142">
        <f>F17+F18+F12</f>
        <v>0</v>
      </c>
      <c r="G19" s="142">
        <f>G17+G18+G12</f>
        <v>130435.8</v>
      </c>
      <c r="H19" s="142"/>
      <c r="I19" s="142"/>
      <c r="J19" s="556">
        <f>J17+J18+J12</f>
        <v>612568.88888888888</v>
      </c>
    </row>
    <row r="20" spans="1:13">
      <c r="A20" s="64" t="s">
        <v>716</v>
      </c>
      <c r="B20" s="467">
        <v>637882.4</v>
      </c>
      <c r="C20" s="467">
        <f>C19*0.4</f>
        <v>0</v>
      </c>
      <c r="D20" s="467">
        <f>D19*0.4</f>
        <v>0</v>
      </c>
      <c r="E20" s="467">
        <f>E19*0.4</f>
        <v>0</v>
      </c>
      <c r="F20" s="467">
        <f>F19*0.4</f>
        <v>0</v>
      </c>
      <c r="G20" s="467">
        <f>G19*0.4</f>
        <v>52174.320000000007</v>
      </c>
      <c r="H20" s="469"/>
      <c r="I20" s="467"/>
      <c r="J20" s="557">
        <f>J19*0.4</f>
        <v>245027.55555555556</v>
      </c>
    </row>
    <row r="21" spans="1:13">
      <c r="A21" t="s">
        <v>877</v>
      </c>
      <c r="B21" s="142">
        <f t="shared" ref="B21:J21" si="0">B19-B20</f>
        <v>956823.6</v>
      </c>
      <c r="C21" s="142">
        <f t="shared" si="0"/>
        <v>0</v>
      </c>
      <c r="D21" s="142">
        <f t="shared" si="0"/>
        <v>0</v>
      </c>
      <c r="E21" s="142">
        <f t="shared" si="0"/>
        <v>0</v>
      </c>
      <c r="F21" s="142">
        <f t="shared" si="0"/>
        <v>0</v>
      </c>
      <c r="G21" s="142">
        <f t="shared" si="0"/>
        <v>78261.48</v>
      </c>
      <c r="H21" s="142"/>
      <c r="I21" s="142"/>
      <c r="J21" s="556">
        <f t="shared" si="0"/>
        <v>367541.33333333331</v>
      </c>
    </row>
    <row r="22" spans="1:13">
      <c r="A22" s="64" t="s">
        <v>1453</v>
      </c>
      <c r="B22" s="468">
        <f>9*(1.005)^2</f>
        <v>9.0902249999999967</v>
      </c>
      <c r="C22" s="64">
        <v>9.27</v>
      </c>
      <c r="D22" s="286">
        <v>9.2799999999999994</v>
      </c>
      <c r="E22" s="286" t="e">
        <f>E38</f>
        <v>#DIV/0!</v>
      </c>
      <c r="F22" s="445">
        <f>F38</f>
        <v>0</v>
      </c>
      <c r="G22" s="286">
        <v>5</v>
      </c>
      <c r="H22" s="445"/>
      <c r="I22" s="445"/>
      <c r="J22" s="558">
        <f>'Stock$ Cal Data'!G20</f>
        <v>7.8594308108162121</v>
      </c>
    </row>
    <row r="23" spans="1:13">
      <c r="A23" t="s">
        <v>1454</v>
      </c>
      <c r="B23" s="142">
        <f t="shared" ref="B23:J23" si="1">B21*B22</f>
        <v>8697741.8093099967</v>
      </c>
      <c r="C23" s="142">
        <f t="shared" si="1"/>
        <v>0</v>
      </c>
      <c r="D23" s="142">
        <f t="shared" si="1"/>
        <v>0</v>
      </c>
      <c r="E23" s="142" t="e">
        <f t="shared" si="1"/>
        <v>#DIV/0!</v>
      </c>
      <c r="F23" s="142">
        <f t="shared" si="1"/>
        <v>0</v>
      </c>
      <c r="G23" s="142">
        <f t="shared" si="1"/>
        <v>391307.39999999997</v>
      </c>
      <c r="H23" s="142"/>
      <c r="I23" s="142"/>
      <c r="J23" s="556">
        <f t="shared" si="1"/>
        <v>2888665.6794484714</v>
      </c>
      <c r="M23" s="559"/>
    </row>
    <row r="24" spans="1:13">
      <c r="A24" t="s">
        <v>1455</v>
      </c>
      <c r="B24" s="142">
        <v>4091736</v>
      </c>
      <c r="C24" s="142">
        <v>4091736</v>
      </c>
      <c r="D24" s="142">
        <f>D8</f>
        <v>0</v>
      </c>
      <c r="E24" s="142">
        <f>E8+E9</f>
        <v>0</v>
      </c>
      <c r="F24" s="142">
        <f>F8+F9</f>
        <v>0</v>
      </c>
      <c r="G24" s="142">
        <f>G8+G9</f>
        <v>91355</v>
      </c>
      <c r="H24" s="142"/>
      <c r="I24" s="142"/>
      <c r="J24" s="556">
        <f>J8+J9</f>
        <v>453466.22222222225</v>
      </c>
    </row>
    <row r="25" spans="1:13">
      <c r="A25" t="s">
        <v>682</v>
      </c>
      <c r="B25" s="142">
        <f>B16</f>
        <v>227278.47</v>
      </c>
      <c r="C25" s="142">
        <v>102989</v>
      </c>
      <c r="D25" s="142">
        <f>D16</f>
        <v>0</v>
      </c>
      <c r="E25" s="142">
        <f>E16</f>
        <v>0</v>
      </c>
      <c r="F25" s="142">
        <f>F16</f>
        <v>0</v>
      </c>
      <c r="G25" s="142">
        <f>G16</f>
        <v>96089</v>
      </c>
      <c r="H25" s="142"/>
      <c r="I25" s="142"/>
      <c r="J25" s="556">
        <f>J16</f>
        <v>131044</v>
      </c>
    </row>
    <row r="26" spans="1:13">
      <c r="A26" s="64" t="s">
        <v>637</v>
      </c>
      <c r="B26" s="467">
        <f>(B9-B10-B15)*0.24</f>
        <v>113418.75360000003</v>
      </c>
      <c r="C26" s="467">
        <f>(C6-C7-C15)*0.24</f>
        <v>0</v>
      </c>
      <c r="D26" s="467">
        <f>(D6-D7-D15)*0.2</f>
        <v>0</v>
      </c>
      <c r="E26" s="467">
        <f>(E6-E7-E15)*0.2</f>
        <v>0</v>
      </c>
      <c r="F26" s="467">
        <f>(F6-F7-F15)*0.2</f>
        <v>0</v>
      </c>
      <c r="G26" s="467">
        <f>IF((G6-G7-G15)&gt;0,(G6-G7-G15)*0.2,0)</f>
        <v>37569</v>
      </c>
      <c r="H26" s="469"/>
      <c r="I26" s="467"/>
      <c r="J26" s="557">
        <f>IF((J6-J7-J15)&gt;0,(J6-J7-J15)*0.2,0)</f>
        <v>82222.044444444458</v>
      </c>
    </row>
    <row r="27" spans="1:13">
      <c r="A27" t="s">
        <v>366</v>
      </c>
      <c r="B27" s="142">
        <f t="shared" ref="B27:G27" si="2">B23-B24+B25-B26</f>
        <v>4719865.525709996</v>
      </c>
      <c r="C27" s="142">
        <f t="shared" si="2"/>
        <v>-3988747</v>
      </c>
      <c r="D27" s="142">
        <f t="shared" si="2"/>
        <v>0</v>
      </c>
      <c r="E27" s="142" t="e">
        <f t="shared" si="2"/>
        <v>#DIV/0!</v>
      </c>
      <c r="F27" s="142">
        <f t="shared" si="2"/>
        <v>0</v>
      </c>
      <c r="G27" s="142">
        <f t="shared" si="2"/>
        <v>358472.39999999997</v>
      </c>
      <c r="H27" s="142"/>
      <c r="I27" s="142"/>
      <c r="J27" s="556">
        <f>IF(J23-J24+J25-J26&gt;J14,J23-J24+J25-J26,J14)</f>
        <v>2484021.4127818048</v>
      </c>
    </row>
    <row r="28" spans="1:13">
      <c r="A28" t="s">
        <v>367</v>
      </c>
      <c r="B28" s="142">
        <f>B14</f>
        <v>2903280.06</v>
      </c>
      <c r="C28" s="142">
        <v>3694878</v>
      </c>
      <c r="D28" s="142">
        <f>D14</f>
        <v>0</v>
      </c>
      <c r="E28" s="142">
        <f>E14</f>
        <v>0</v>
      </c>
      <c r="F28" s="142">
        <f>F14</f>
        <v>0</v>
      </c>
      <c r="G28" s="142">
        <f>G14</f>
        <v>150000</v>
      </c>
      <c r="H28" s="142"/>
      <c r="I28" s="142"/>
      <c r="J28" s="556">
        <f>J14</f>
        <v>365014</v>
      </c>
    </row>
    <row r="29" spans="1:13">
      <c r="A29" t="s">
        <v>368</v>
      </c>
      <c r="B29" s="142">
        <f t="shared" ref="B29:J29" si="3">AVERAGE(B27:B28)</f>
        <v>3811572.7928549983</v>
      </c>
      <c r="C29" s="142">
        <f t="shared" si="3"/>
        <v>-146934.5</v>
      </c>
      <c r="D29" s="142">
        <f t="shared" si="3"/>
        <v>0</v>
      </c>
      <c r="E29" s="142" t="e">
        <f t="shared" si="3"/>
        <v>#DIV/0!</v>
      </c>
      <c r="F29" s="142">
        <f t="shared" si="3"/>
        <v>0</v>
      </c>
      <c r="G29" s="142">
        <f t="shared" si="3"/>
        <v>254236.19999999998</v>
      </c>
      <c r="H29" s="142"/>
      <c r="I29" s="142"/>
      <c r="J29" s="556">
        <f t="shared" si="3"/>
        <v>1424517.7063909024</v>
      </c>
    </row>
    <row r="30" spans="1:13">
      <c r="A30" t="s">
        <v>1031</v>
      </c>
      <c r="B30" s="260">
        <v>122940</v>
      </c>
      <c r="C30">
        <v>122940</v>
      </c>
      <c r="D30" s="256">
        <v>122940</v>
      </c>
      <c r="E30" s="256">
        <v>123040</v>
      </c>
      <c r="F30" s="256">
        <v>123040</v>
      </c>
      <c r="G30" s="256">
        <v>24389</v>
      </c>
      <c r="H30" s="256">
        <v>24389</v>
      </c>
      <c r="I30" s="256">
        <v>24389</v>
      </c>
      <c r="J30" s="554">
        <v>24389</v>
      </c>
    </row>
    <row r="31" spans="1:13" ht="14" thickBot="1">
      <c r="A31" t="s">
        <v>179</v>
      </c>
      <c r="B31" s="266">
        <f t="shared" ref="B31:G31" si="4">B29/B30</f>
        <v>31.003520358345519</v>
      </c>
      <c r="C31" s="290">
        <f t="shared" si="4"/>
        <v>-1.1951724418415488</v>
      </c>
      <c r="D31" s="290">
        <f t="shared" si="4"/>
        <v>0</v>
      </c>
      <c r="E31" s="290" t="e">
        <f t="shared" si="4"/>
        <v>#DIV/0!</v>
      </c>
      <c r="F31" s="290">
        <f t="shared" si="4"/>
        <v>0</v>
      </c>
      <c r="G31" s="290">
        <f t="shared" si="4"/>
        <v>10.424215835007585</v>
      </c>
      <c r="H31" s="290">
        <f>H29/H30</f>
        <v>0</v>
      </c>
      <c r="I31" s="290">
        <f>J31/J3</f>
        <v>64.898005311634222</v>
      </c>
      <c r="J31" s="560">
        <f>J29/J30</f>
        <v>58.408204780470804</v>
      </c>
    </row>
    <row r="32" spans="1:13" ht="14" thickBot="1">
      <c r="A32" t="s">
        <v>180</v>
      </c>
      <c r="B32" s="266">
        <v>31.003520358345519</v>
      </c>
      <c r="C32" s="290">
        <v>44.055048177972985</v>
      </c>
      <c r="D32">
        <v>54.35</v>
      </c>
      <c r="E32" s="290">
        <v>44.700910273081924</v>
      </c>
      <c r="F32">
        <v>54.33</v>
      </c>
      <c r="G32" s="470"/>
      <c r="H32" s="484"/>
      <c r="I32" s="470"/>
      <c r="J32" s="484"/>
    </row>
    <row r="33" spans="1:7">
      <c r="C33" s="290"/>
      <c r="D33" s="290"/>
    </row>
    <row r="35" spans="1:7">
      <c r="A35" t="s">
        <v>132</v>
      </c>
      <c r="E35" s="142">
        <v>5500000</v>
      </c>
      <c r="G35" s="142"/>
    </row>
    <row r="36" spans="1:7">
      <c r="A36" t="s">
        <v>920</v>
      </c>
      <c r="E36" s="141">
        <f>(E35-E14)*2+E14</f>
        <v>11000000</v>
      </c>
      <c r="G36" s="141"/>
    </row>
    <row r="38" spans="1:7">
      <c r="A38" t="s">
        <v>1032</v>
      </c>
      <c r="E38" t="e">
        <f>(E36+E24-E25+E26)/E21</f>
        <v>#DIV/0!</v>
      </c>
    </row>
    <row r="40" spans="1:7">
      <c r="A40" t="s">
        <v>469</v>
      </c>
      <c r="G40" s="465">
        <v>100000</v>
      </c>
    </row>
    <row r="42" spans="1:7">
      <c r="A42" t="s">
        <v>758</v>
      </c>
      <c r="G42" s="229">
        <f>'Opt price'!G26/'Stock$ Data FR'!G29</f>
        <v>12.857870158537612</v>
      </c>
    </row>
  </sheetData>
  <pageMargins left="0.75" right="0.75" top="1" bottom="1" header="0.5" footer="0.5"/>
  <pageSetup paperSize="0" scale="61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 enableFormatConditionsCalculation="0">
    <pageSetUpPr fitToPage="1"/>
  </sheetPr>
  <dimension ref="A1:Q213"/>
  <sheetViews>
    <sheetView workbookViewId="0">
      <pane xSplit="1" ySplit="1" topLeftCell="B54" activePane="bottomRight" state="frozenSplit"/>
      <selection pane="topRight" activeCell="B1" sqref="B1"/>
      <selection pane="bottomLeft" activeCell="A2" sqref="A2"/>
      <selection pane="bottomRight" activeCell="C137" sqref="C137"/>
    </sheetView>
  </sheetViews>
  <sheetFormatPr baseColWidth="10" defaultRowHeight="16" x14ac:dyDescent="0"/>
  <cols>
    <col min="1" max="1" width="27.42578125" customWidth="1"/>
    <col min="2" max="2" width="21.85546875" style="103" customWidth="1"/>
    <col min="3" max="3" width="26.140625" style="103" customWidth="1"/>
    <col min="4" max="4" width="17.5703125" style="336" customWidth="1"/>
    <col min="5" max="5" width="13.28515625" customWidth="1"/>
    <col min="6" max="6" width="13.28515625" style="299" customWidth="1"/>
    <col min="7" max="8" width="17.5703125" style="298" customWidth="1"/>
    <col min="9" max="10" width="17.28515625" customWidth="1"/>
    <col min="11" max="11" width="20" customWidth="1"/>
    <col min="12" max="12" width="17.85546875" customWidth="1"/>
    <col min="13" max="16" width="16.140625" customWidth="1"/>
  </cols>
  <sheetData>
    <row r="1" spans="1:16" s="351" customFormat="1" ht="17" thickTop="1">
      <c r="A1" s="352"/>
      <c r="B1" s="353">
        <v>35733</v>
      </c>
      <c r="C1" s="353">
        <v>35641</v>
      </c>
      <c r="D1" s="353">
        <v>35519</v>
      </c>
      <c r="E1" s="353">
        <v>35461</v>
      </c>
      <c r="F1" s="353">
        <v>35429</v>
      </c>
      <c r="G1" s="353">
        <v>35369</v>
      </c>
      <c r="H1" s="353">
        <v>35338</v>
      </c>
      <c r="I1" s="354">
        <v>35277</v>
      </c>
      <c r="J1" s="354">
        <v>35095</v>
      </c>
      <c r="K1" s="354">
        <v>35033</v>
      </c>
      <c r="L1" s="354">
        <v>34971</v>
      </c>
      <c r="O1" s="352" t="s">
        <v>1158</v>
      </c>
      <c r="P1" s="355" t="s">
        <v>1170</v>
      </c>
    </row>
    <row r="2" spans="1:16" ht="17">
      <c r="A2" s="447" t="s">
        <v>880</v>
      </c>
      <c r="D2" s="331"/>
      <c r="E2" s="239"/>
      <c r="F2" s="297"/>
      <c r="I2" s="239"/>
      <c r="J2" s="239"/>
      <c r="K2" s="239"/>
      <c r="M2" s="239"/>
      <c r="N2" s="239"/>
      <c r="O2" s="239"/>
      <c r="P2" s="305">
        <f>P8+P22+P47+P92</f>
        <v>-469150.51100000122</v>
      </c>
    </row>
    <row r="3" spans="1:16">
      <c r="A3" t="s">
        <v>373</v>
      </c>
      <c r="D3" s="331"/>
      <c r="E3" s="239"/>
      <c r="I3" s="239"/>
      <c r="J3" s="239"/>
      <c r="K3" s="239"/>
      <c r="M3" s="239"/>
      <c r="N3" s="239"/>
      <c r="O3" s="239"/>
      <c r="P3" s="239"/>
    </row>
    <row r="4" spans="1:16" ht="13">
      <c r="A4" t="s">
        <v>1514</v>
      </c>
      <c r="B4" s="103">
        <v>572131.82999999996</v>
      </c>
      <c r="C4" s="103">
        <v>39553.39</v>
      </c>
      <c r="D4" s="331">
        <v>179724.95</v>
      </c>
      <c r="E4" s="103">
        <v>199854.79</v>
      </c>
      <c r="F4" s="314">
        <v>-233740</v>
      </c>
      <c r="G4" s="314">
        <v>123455.49</v>
      </c>
      <c r="H4" s="103">
        <v>178247.85</v>
      </c>
      <c r="I4" s="103">
        <v>289282.58</v>
      </c>
      <c r="J4" s="103">
        <v>186692.5</v>
      </c>
      <c r="K4" s="303">
        <v>-287276.18</v>
      </c>
      <c r="L4" s="357">
        <v>-18893.52</v>
      </c>
      <c r="M4" s="287"/>
      <c r="N4" s="287"/>
      <c r="O4" s="287"/>
      <c r="P4" s="287"/>
    </row>
    <row r="5" spans="1:16" ht="13">
      <c r="A5" t="s">
        <v>1609</v>
      </c>
      <c r="B5" s="103">
        <v>96088.85</v>
      </c>
      <c r="C5" s="103">
        <v>83917.03</v>
      </c>
      <c r="D5" s="331">
        <v>166789.32999999999</v>
      </c>
      <c r="E5" s="103">
        <v>23526.95</v>
      </c>
      <c r="F5" s="314">
        <v>21115</v>
      </c>
      <c r="G5" s="314">
        <v>43757.65</v>
      </c>
      <c r="H5" s="103">
        <v>17605.21</v>
      </c>
      <c r="I5" s="103">
        <v>87150.18</v>
      </c>
      <c r="J5" s="103">
        <v>39635.97</v>
      </c>
      <c r="K5" s="303">
        <v>41477.589999999997</v>
      </c>
      <c r="L5" s="357">
        <v>11348.44</v>
      </c>
      <c r="M5" s="287"/>
      <c r="N5" s="287"/>
      <c r="O5" s="287"/>
      <c r="P5" s="287"/>
    </row>
    <row r="6" spans="1:16" ht="13">
      <c r="A6" s="64" t="s">
        <v>1610</v>
      </c>
      <c r="B6" s="208">
        <v>950</v>
      </c>
      <c r="C6" s="208">
        <v>950</v>
      </c>
      <c r="D6" s="344">
        <v>950</v>
      </c>
      <c r="E6" s="208">
        <v>950</v>
      </c>
      <c r="F6" s="315">
        <v>950</v>
      </c>
      <c r="G6" s="315">
        <v>1087</v>
      </c>
      <c r="H6" s="103">
        <v>1087</v>
      </c>
      <c r="I6" s="208">
        <v>951</v>
      </c>
      <c r="J6" s="208">
        <v>950</v>
      </c>
      <c r="K6" s="304">
        <v>950</v>
      </c>
      <c r="L6" s="357">
        <v>1070</v>
      </c>
      <c r="M6" s="287"/>
      <c r="N6" s="287"/>
      <c r="O6" s="287"/>
      <c r="P6" s="287"/>
    </row>
    <row r="7" spans="1:16" ht="13">
      <c r="B7" s="316" t="s">
        <v>762</v>
      </c>
      <c r="C7" s="316" t="s">
        <v>762</v>
      </c>
      <c r="D7" s="331"/>
      <c r="E7" s="316"/>
      <c r="F7" s="314"/>
      <c r="G7" s="314"/>
      <c r="H7" s="316"/>
      <c r="I7" s="103"/>
      <c r="J7" s="103"/>
      <c r="K7" s="103"/>
      <c r="L7" s="357"/>
      <c r="M7" s="239"/>
      <c r="N7" s="239"/>
      <c r="O7" s="239"/>
      <c r="P7" s="239"/>
    </row>
    <row r="8" spans="1:16" ht="13">
      <c r="A8" t="s">
        <v>1304</v>
      </c>
      <c r="B8" s="103">
        <v>669170.68000000005</v>
      </c>
      <c r="C8" s="103">
        <v>124420.42</v>
      </c>
      <c r="D8" s="356">
        <v>347464.28</v>
      </c>
      <c r="E8" s="103">
        <v>224331.74</v>
      </c>
      <c r="F8" s="314"/>
      <c r="G8" s="314"/>
      <c r="H8" s="103">
        <v>196940.06</v>
      </c>
      <c r="I8" s="103"/>
      <c r="J8" s="103"/>
      <c r="K8" s="103"/>
      <c r="L8" s="357">
        <v>-6475.08</v>
      </c>
      <c r="M8" s="239"/>
      <c r="N8" s="239"/>
      <c r="O8" s="303"/>
      <c r="P8" s="305">
        <v>347464.28</v>
      </c>
    </row>
    <row r="9" spans="1:16" ht="13">
      <c r="D9" s="331"/>
      <c r="E9" s="103"/>
      <c r="F9" s="314"/>
      <c r="G9" s="314"/>
      <c r="H9" s="103"/>
      <c r="I9" s="103"/>
      <c r="J9" s="103"/>
      <c r="K9" s="103"/>
      <c r="L9" s="357"/>
      <c r="M9" s="346" t="s">
        <v>1286</v>
      </c>
      <c r="N9" s="241"/>
    </row>
    <row r="10" spans="1:16" s="187" customFormat="1" ht="13">
      <c r="A10" t="s">
        <v>1611</v>
      </c>
      <c r="B10" s="103">
        <v>2745831.56</v>
      </c>
      <c r="C10" s="103">
        <v>3128776.27</v>
      </c>
      <c r="D10" s="331">
        <v>2631067.7200000002</v>
      </c>
      <c r="E10" s="103">
        <v>2480497.36</v>
      </c>
      <c r="F10" s="314">
        <v>2766969</v>
      </c>
      <c r="G10" s="314">
        <v>2528580.6800000002</v>
      </c>
      <c r="H10" s="103">
        <v>2580559.52</v>
      </c>
      <c r="I10" s="230">
        <v>377383.76</v>
      </c>
      <c r="J10" s="230">
        <v>227278.47</v>
      </c>
      <c r="K10" s="305">
        <v>-244848.59</v>
      </c>
      <c r="L10" s="357">
        <v>2238292.27</v>
      </c>
      <c r="M10" s="349">
        <v>2631067.7200000002</v>
      </c>
      <c r="N10" s="287"/>
      <c r="O10" s="287"/>
      <c r="P10" s="287"/>
    </row>
    <row r="11" spans="1:16" ht="13">
      <c r="A11" t="s">
        <v>1424</v>
      </c>
      <c r="B11" s="103">
        <v>576333</v>
      </c>
      <c r="C11" s="103">
        <v>437654.16</v>
      </c>
      <c r="D11" s="331">
        <v>292599</v>
      </c>
      <c r="E11" s="103">
        <v>246386.76</v>
      </c>
      <c r="F11" s="314">
        <v>106414</v>
      </c>
      <c r="G11" s="314">
        <v>418515.53</v>
      </c>
      <c r="H11" s="103">
        <v>531920.97</v>
      </c>
      <c r="I11" s="103">
        <v>2377923.0299999998</v>
      </c>
      <c r="J11" s="103">
        <v>1904065.51</v>
      </c>
      <c r="K11" s="303">
        <v>2311215.41</v>
      </c>
      <c r="L11" s="357">
        <v>106619</v>
      </c>
      <c r="M11" s="331">
        <v>292.59899999999999</v>
      </c>
      <c r="N11" s="287"/>
      <c r="O11" s="287"/>
      <c r="P11" s="287"/>
    </row>
    <row r="12" spans="1:16" ht="13">
      <c r="A12" t="s">
        <v>1497</v>
      </c>
      <c r="B12" s="103">
        <v>-75000</v>
      </c>
      <c r="C12" s="103">
        <v>-75000</v>
      </c>
      <c r="D12" s="331">
        <v>-75000</v>
      </c>
      <c r="E12" s="103">
        <v>-75000</v>
      </c>
      <c r="F12" s="314">
        <v>-75000</v>
      </c>
      <c r="G12" s="314">
        <v>-72000</v>
      </c>
      <c r="H12" s="103">
        <v>-70000</v>
      </c>
      <c r="I12" s="103">
        <v>430520</v>
      </c>
      <c r="J12" s="103">
        <v>230779</v>
      </c>
      <c r="K12" s="303">
        <v>96339</v>
      </c>
      <c r="L12" s="357"/>
      <c r="M12" s="331">
        <v>-75000</v>
      </c>
      <c r="N12" s="287"/>
      <c r="O12" s="287"/>
      <c r="P12" s="287"/>
    </row>
    <row r="13" spans="1:16" ht="13">
      <c r="A13" t="s">
        <v>1135</v>
      </c>
      <c r="B13" s="103">
        <v>386291.97</v>
      </c>
      <c r="C13" s="103">
        <v>371693.07</v>
      </c>
      <c r="D13" s="331">
        <v>276732.83</v>
      </c>
      <c r="E13" s="103">
        <v>223186.55</v>
      </c>
      <c r="F13" s="314">
        <v>281774</v>
      </c>
      <c r="G13" s="314">
        <v>132324.35999999999</v>
      </c>
      <c r="H13" s="103">
        <v>161485.1</v>
      </c>
      <c r="I13" s="103">
        <v>-66000</v>
      </c>
      <c r="J13" s="103">
        <v>-54000</v>
      </c>
      <c r="K13" s="303">
        <v>-50000</v>
      </c>
      <c r="L13" s="357">
        <v>-43000</v>
      </c>
      <c r="M13" s="331">
        <v>276732.83</v>
      </c>
      <c r="N13" s="287"/>
      <c r="O13" s="287"/>
      <c r="P13" s="287"/>
    </row>
    <row r="14" spans="1:16" ht="13">
      <c r="A14" t="s">
        <v>821</v>
      </c>
      <c r="B14" s="103">
        <v>816</v>
      </c>
      <c r="C14" s="103">
        <v>816</v>
      </c>
      <c r="D14" s="331">
        <v>816</v>
      </c>
      <c r="E14" s="103">
        <v>816</v>
      </c>
      <c r="F14" s="314"/>
      <c r="G14" s="314">
        <v>6000</v>
      </c>
      <c r="H14" s="103">
        <v>6000</v>
      </c>
      <c r="I14" s="103">
        <v>198632.31</v>
      </c>
      <c r="J14" s="103">
        <v>207078.04</v>
      </c>
      <c r="K14" s="303">
        <v>267625.01</v>
      </c>
      <c r="L14" s="357">
        <v>198906.39</v>
      </c>
      <c r="M14" s="331">
        <v>816</v>
      </c>
      <c r="N14" s="287"/>
      <c r="O14" s="287"/>
      <c r="P14" s="287"/>
    </row>
    <row r="15" spans="1:16" ht="13">
      <c r="A15" t="s">
        <v>961</v>
      </c>
      <c r="B15" s="103">
        <v>268244.69</v>
      </c>
      <c r="C15" s="103">
        <v>303696.58</v>
      </c>
      <c r="D15" s="331">
        <v>254977.82</v>
      </c>
      <c r="E15" s="103">
        <v>252175.82</v>
      </c>
      <c r="F15" s="314">
        <v>816</v>
      </c>
      <c r="G15" s="314">
        <v>3699.85</v>
      </c>
      <c r="H15" s="103">
        <v>4952.41</v>
      </c>
      <c r="I15" s="103">
        <f>6000 + 2933.53</f>
        <v>8933.5300000000007</v>
      </c>
      <c r="J15" s="103">
        <v>1085.28</v>
      </c>
      <c r="K15" s="303"/>
      <c r="L15" s="357">
        <v>8225.86</v>
      </c>
      <c r="M15" s="350"/>
      <c r="N15" s="287"/>
      <c r="O15" s="287"/>
      <c r="P15" s="287"/>
    </row>
    <row r="16" spans="1:16" ht="13">
      <c r="A16" t="s">
        <v>917</v>
      </c>
      <c r="B16" s="103">
        <v>295341.05</v>
      </c>
      <c r="C16" s="103">
        <v>295288.96000000002</v>
      </c>
      <c r="D16" s="331">
        <v>349820.4</v>
      </c>
      <c r="E16" s="103">
        <v>319291.14</v>
      </c>
      <c r="F16" s="314">
        <v>235077</v>
      </c>
      <c r="G16" s="314">
        <v>212353.79</v>
      </c>
      <c r="H16" s="103">
        <v>172917.52</v>
      </c>
      <c r="I16" s="103">
        <v>139499</v>
      </c>
      <c r="J16" s="103">
        <v>78016.08</v>
      </c>
      <c r="K16" s="303">
        <v>111190.43</v>
      </c>
      <c r="L16" s="357">
        <v>67438.59</v>
      </c>
      <c r="M16" s="331">
        <v>349820.4</v>
      </c>
      <c r="N16" s="287"/>
      <c r="O16" s="287"/>
      <c r="P16" s="287"/>
    </row>
    <row r="17" spans="1:16" ht="13">
      <c r="A17" t="s">
        <v>805</v>
      </c>
      <c r="B17" s="103">
        <v>-6603.34</v>
      </c>
      <c r="C17" s="103">
        <v>-6603.34</v>
      </c>
      <c r="D17" s="331">
        <v>-6603.34</v>
      </c>
      <c r="E17" s="103">
        <v>-6603.34</v>
      </c>
      <c r="F17" s="314">
        <v>339818</v>
      </c>
      <c r="G17" s="314">
        <v>315988.15999999997</v>
      </c>
      <c r="H17" s="103">
        <v>319634.87</v>
      </c>
      <c r="I17" s="103">
        <v>326566.98</v>
      </c>
      <c r="J17" s="103">
        <v>263200.14</v>
      </c>
      <c r="K17" s="303">
        <v>261136.54</v>
      </c>
      <c r="L17" s="357">
        <v>291914.71000000002</v>
      </c>
      <c r="M17" s="331">
        <v>-6603.34</v>
      </c>
      <c r="N17" s="287"/>
      <c r="O17" s="287"/>
      <c r="P17" s="287"/>
    </row>
    <row r="18" spans="1:16" ht="13">
      <c r="A18" t="s">
        <v>806</v>
      </c>
      <c r="B18" s="103">
        <v>37909</v>
      </c>
      <c r="C18" s="103">
        <v>11881.45</v>
      </c>
      <c r="D18" s="331">
        <v>13947.03</v>
      </c>
      <c r="E18" s="103">
        <v>15986.26</v>
      </c>
      <c r="F18" s="314">
        <v>-6603</v>
      </c>
      <c r="G18" s="314">
        <v>-6860.66</v>
      </c>
      <c r="H18" s="103">
        <v>-6860.66</v>
      </c>
      <c r="I18" s="103">
        <v>-6860.66</v>
      </c>
      <c r="J18" s="103">
        <v>-6860.66</v>
      </c>
      <c r="K18" s="303">
        <v>-6860.66</v>
      </c>
      <c r="L18" s="357">
        <v>-10058.93</v>
      </c>
      <c r="M18" s="331">
        <v>23920.61</v>
      </c>
      <c r="N18" s="287"/>
      <c r="O18" s="287"/>
      <c r="P18" s="287"/>
    </row>
    <row r="19" spans="1:16" ht="13">
      <c r="A19" t="s">
        <v>1520</v>
      </c>
      <c r="B19" s="103">
        <v>729.03</v>
      </c>
      <c r="C19" s="103">
        <v>699.68</v>
      </c>
      <c r="D19" s="331">
        <v>647.62</v>
      </c>
      <c r="E19" s="103">
        <v>622.32000000000005</v>
      </c>
      <c r="F19" s="314">
        <v>18327</v>
      </c>
      <c r="G19" s="314">
        <v>24693.38</v>
      </c>
      <c r="H19" s="103">
        <v>26056.52</v>
      </c>
      <c r="I19" s="103">
        <v>34988.1</v>
      </c>
      <c r="J19" s="103">
        <v>24276.639999999999</v>
      </c>
      <c r="K19" s="303">
        <v>27002.92</v>
      </c>
      <c r="L19" s="357">
        <v>59344.43</v>
      </c>
      <c r="M19" s="331">
        <v>13947.03</v>
      </c>
      <c r="N19" s="287"/>
      <c r="O19" s="287"/>
      <c r="P19" s="287"/>
    </row>
    <row r="20" spans="1:16" ht="13">
      <c r="A20" t="s">
        <v>1021</v>
      </c>
      <c r="B20" s="103">
        <v>5958.79</v>
      </c>
      <c r="C20" s="103">
        <v>8330.7800000000007</v>
      </c>
      <c r="D20" s="331">
        <v>2058.89</v>
      </c>
      <c r="E20" s="103">
        <v>2898.08</v>
      </c>
      <c r="F20" s="314">
        <v>19958</v>
      </c>
      <c r="G20" s="314">
        <v>17990.96</v>
      </c>
      <c r="H20" s="103">
        <v>20030.189999999999</v>
      </c>
      <c r="I20" s="103">
        <v>24180.65</v>
      </c>
      <c r="J20" s="103">
        <v>6619.88</v>
      </c>
      <c r="K20" s="303">
        <v>8589.36</v>
      </c>
      <c r="L20" s="357">
        <v>21738.7</v>
      </c>
      <c r="M20" s="331">
        <v>647.62</v>
      </c>
      <c r="N20" s="287"/>
      <c r="O20" s="287"/>
      <c r="P20" s="287"/>
    </row>
    <row r="21" spans="1:16" ht="13">
      <c r="A21" t="s">
        <v>786</v>
      </c>
      <c r="B21" s="103">
        <v>19934.75</v>
      </c>
      <c r="C21" s="103">
        <v>41848.550000000003</v>
      </c>
      <c r="D21" s="331">
        <v>23920.61</v>
      </c>
      <c r="E21" s="103">
        <v>17619.66</v>
      </c>
      <c r="F21" s="314">
        <v>5637</v>
      </c>
      <c r="G21" s="314">
        <v>7335.36</v>
      </c>
      <c r="H21" s="103">
        <v>6893.61</v>
      </c>
      <c r="I21" s="103">
        <v>7091.92</v>
      </c>
      <c r="J21" s="103">
        <v>5345.71</v>
      </c>
      <c r="K21" s="303">
        <v>565.69000000000005</v>
      </c>
      <c r="L21" s="357">
        <v>-19993.98</v>
      </c>
      <c r="M21" s="344">
        <v>10609.18</v>
      </c>
      <c r="N21" s="348"/>
      <c r="O21" s="348"/>
      <c r="P21" s="287"/>
    </row>
    <row r="22" spans="1:16" ht="13">
      <c r="A22" s="64" t="s">
        <v>923</v>
      </c>
      <c r="B22" s="208">
        <v>3383</v>
      </c>
      <c r="C22" s="208">
        <v>5487.47</v>
      </c>
      <c r="D22" s="344">
        <v>10609.18</v>
      </c>
      <c r="E22" s="208">
        <v>3102.49</v>
      </c>
      <c r="F22" s="315">
        <v>4091</v>
      </c>
      <c r="G22" s="315">
        <v>11953.68</v>
      </c>
      <c r="H22" s="103">
        <v>12479.51</v>
      </c>
      <c r="I22" s="208">
        <v>12837.71</v>
      </c>
      <c r="J22" s="208">
        <v>7517.03</v>
      </c>
      <c r="K22" s="304">
        <v>6619.11</v>
      </c>
      <c r="L22" s="357">
        <v>6938.09</v>
      </c>
      <c r="M22" s="303">
        <f>SUM(M10:M21)</f>
        <v>3226250.6490000002</v>
      </c>
      <c r="N22" s="239"/>
      <c r="O22" s="239"/>
      <c r="P22" s="303">
        <f>-3400000+M22</f>
        <v>-173749.35099999979</v>
      </c>
    </row>
    <row r="23" spans="1:16" ht="13">
      <c r="B23" s="316" t="s">
        <v>762</v>
      </c>
      <c r="C23" s="316" t="s">
        <v>762</v>
      </c>
      <c r="D23" s="356"/>
      <c r="E23" s="316"/>
      <c r="F23" s="314"/>
      <c r="G23" s="314"/>
      <c r="H23" s="316"/>
      <c r="I23" s="103"/>
      <c r="J23" s="103"/>
      <c r="K23" s="103"/>
      <c r="L23" s="357"/>
      <c r="M23" s="239"/>
      <c r="N23" s="239"/>
      <c r="O23" s="239"/>
      <c r="P23" s="239"/>
    </row>
    <row r="24" spans="1:16" s="187" customFormat="1" ht="15">
      <c r="A24" s="447" t="s">
        <v>924</v>
      </c>
      <c r="B24" s="103">
        <v>4928340.18</v>
      </c>
      <c r="C24" s="103">
        <v>4648990.05</v>
      </c>
      <c r="D24" s="356">
        <v>4123058.04</v>
      </c>
      <c r="E24" s="103">
        <v>3705310.84</v>
      </c>
      <c r="F24" s="314">
        <v>3485603</v>
      </c>
      <c r="G24" s="314">
        <v>3768875.23</v>
      </c>
      <c r="H24" s="103">
        <v>3963009.62</v>
      </c>
      <c r="I24" s="230">
        <v>3865696.33</v>
      </c>
      <c r="J24" s="230">
        <v>2894401.12</v>
      </c>
      <c r="K24" s="305">
        <v>2788574.22</v>
      </c>
      <c r="L24" s="357">
        <v>2919890.05</v>
      </c>
      <c r="M24" s="241"/>
      <c r="N24" s="241"/>
    </row>
    <row r="25" spans="1:16" s="187" customFormat="1" ht="13">
      <c r="A25"/>
      <c r="B25" s="103"/>
      <c r="C25" s="103"/>
      <c r="D25" s="331"/>
      <c r="E25" s="103"/>
      <c r="F25" s="314"/>
      <c r="G25" s="314"/>
      <c r="H25" s="103"/>
      <c r="I25" s="230"/>
      <c r="J25" s="230"/>
      <c r="K25" s="305"/>
      <c r="L25" s="357"/>
      <c r="M25" s="241"/>
      <c r="N25" s="241"/>
      <c r="O25" s="241"/>
      <c r="P25" s="241"/>
    </row>
    <row r="26" spans="1:16" ht="15">
      <c r="A26" s="447" t="s">
        <v>867</v>
      </c>
      <c r="D26" s="331"/>
      <c r="E26" s="103"/>
      <c r="F26" s="314"/>
      <c r="G26" s="314"/>
      <c r="H26" s="103"/>
      <c r="I26" s="103"/>
      <c r="J26" s="103"/>
      <c r="K26" s="303"/>
      <c r="L26" s="357"/>
      <c r="M26" s="346" t="s">
        <v>997</v>
      </c>
      <c r="N26" s="345" t="s">
        <v>1155</v>
      </c>
      <c r="O26" s="345" t="s">
        <v>1285</v>
      </c>
      <c r="P26" s="239"/>
    </row>
    <row r="27" spans="1:16" ht="13">
      <c r="A27" t="s">
        <v>868</v>
      </c>
      <c r="D27" s="331"/>
      <c r="E27" s="103"/>
      <c r="F27" s="314"/>
      <c r="G27" s="314"/>
      <c r="H27" s="103"/>
      <c r="I27" s="103"/>
      <c r="J27" s="103"/>
      <c r="K27" s="303"/>
      <c r="L27" s="357"/>
      <c r="M27" s="239"/>
      <c r="N27" s="239"/>
      <c r="O27" s="239"/>
      <c r="P27" s="239"/>
    </row>
    <row r="28" spans="1:16" ht="13">
      <c r="A28" t="s">
        <v>925</v>
      </c>
      <c r="B28" s="103">
        <v>5596602.2999999998</v>
      </c>
      <c r="C28" s="103">
        <v>5596602.2999999998</v>
      </c>
      <c r="D28" s="331">
        <v>5596602.2999999998</v>
      </c>
      <c r="E28" s="103">
        <v>5596602.2999999998</v>
      </c>
      <c r="F28" s="314">
        <v>5596602</v>
      </c>
      <c r="G28" s="314">
        <v>5596602.2999999998</v>
      </c>
      <c r="H28" s="103">
        <v>5596602.2999999998</v>
      </c>
      <c r="I28" s="103">
        <v>5596602.2999999998</v>
      </c>
      <c r="J28" s="103">
        <v>5596602.2999999998</v>
      </c>
      <c r="K28" s="303">
        <v>5596602.2999999998</v>
      </c>
      <c r="L28" s="357">
        <v>5596602.2999999998</v>
      </c>
      <c r="M28" s="330">
        <v>5596602.2999999998</v>
      </c>
      <c r="N28" s="330"/>
      <c r="O28" s="287"/>
      <c r="P28" s="287"/>
    </row>
    <row r="29" spans="1:16" ht="13">
      <c r="A29" t="s">
        <v>926</v>
      </c>
      <c r="B29" s="103">
        <v>302005.94</v>
      </c>
      <c r="C29" s="103">
        <v>281733.46000000002</v>
      </c>
      <c r="D29" s="331">
        <v>245809.94</v>
      </c>
      <c r="E29" s="103">
        <v>241747.64</v>
      </c>
      <c r="F29" s="314">
        <v>237794</v>
      </c>
      <c r="G29" s="314">
        <v>231505.63</v>
      </c>
      <c r="H29" s="103">
        <v>230101.22</v>
      </c>
      <c r="I29" s="103">
        <v>217226.15</v>
      </c>
      <c r="J29" s="103">
        <v>204123.41</v>
      </c>
      <c r="K29" s="303">
        <v>204123.41</v>
      </c>
      <c r="L29" s="357">
        <v>184641.85</v>
      </c>
      <c r="M29" s="330"/>
      <c r="N29" s="330"/>
      <c r="O29" s="287"/>
      <c r="P29" s="287"/>
    </row>
    <row r="30" spans="1:16" ht="13">
      <c r="A30" t="s">
        <v>927</v>
      </c>
      <c r="B30" s="103">
        <v>42250.16</v>
      </c>
      <c r="C30" s="103">
        <v>42250.16</v>
      </c>
      <c r="D30" s="331">
        <v>42250.16</v>
      </c>
      <c r="E30" s="103">
        <v>42250.16</v>
      </c>
      <c r="F30" s="314">
        <v>42250</v>
      </c>
      <c r="G30" s="314">
        <v>43659.5</v>
      </c>
      <c r="H30" s="103">
        <v>43659.5</v>
      </c>
      <c r="I30" s="103">
        <v>43659.5</v>
      </c>
      <c r="J30" s="103">
        <v>32386.87</v>
      </c>
      <c r="K30" s="303">
        <v>32386.87</v>
      </c>
      <c r="L30" s="357">
        <v>32386.87</v>
      </c>
      <c r="M30" s="330">
        <v>42250.16</v>
      </c>
      <c r="N30" s="330"/>
      <c r="O30" s="287"/>
      <c r="P30" s="287"/>
    </row>
    <row r="31" spans="1:16" ht="13">
      <c r="A31" t="s">
        <v>928</v>
      </c>
      <c r="B31" s="103">
        <v>2159953.34</v>
      </c>
      <c r="C31" s="103">
        <v>2154443.5099999998</v>
      </c>
      <c r="D31" s="331">
        <v>2151096.4900000002</v>
      </c>
      <c r="E31" s="103">
        <v>2125545.0099999998</v>
      </c>
      <c r="F31" s="314">
        <v>2151844</v>
      </c>
      <c r="G31" s="314">
        <v>2158768.5099999998</v>
      </c>
      <c r="H31" s="103">
        <v>2157321.3199999998</v>
      </c>
      <c r="I31" s="103">
        <v>2149378.64</v>
      </c>
      <c r="J31" s="103">
        <v>2124005.9500000002</v>
      </c>
      <c r="K31" s="303">
        <v>2121907.6</v>
      </c>
      <c r="L31" s="357">
        <v>2112145.5</v>
      </c>
      <c r="M31" s="330"/>
      <c r="N31" s="330"/>
      <c r="O31" s="287"/>
      <c r="P31" s="287"/>
    </row>
    <row r="32" spans="1:16" ht="13">
      <c r="A32" t="s">
        <v>1439</v>
      </c>
      <c r="B32" s="103">
        <v>496255.5</v>
      </c>
      <c r="C32" s="103">
        <v>489828.68</v>
      </c>
      <c r="D32" s="331">
        <v>480508.35</v>
      </c>
      <c r="E32" s="103">
        <v>480508.35</v>
      </c>
      <c r="F32" s="314">
        <v>480508</v>
      </c>
      <c r="G32" s="314">
        <v>487117.24</v>
      </c>
      <c r="H32" s="103">
        <v>487117.24</v>
      </c>
      <c r="I32" s="103">
        <v>487117.24</v>
      </c>
      <c r="J32" s="103">
        <v>487117.24</v>
      </c>
      <c r="K32" s="303">
        <v>487117.24</v>
      </c>
      <c r="L32" s="357">
        <v>487117.24</v>
      </c>
      <c r="M32" s="330"/>
      <c r="N32" s="330"/>
      <c r="O32" s="287"/>
      <c r="P32" s="287"/>
    </row>
    <row r="33" spans="1:16" ht="13">
      <c r="A33" t="s">
        <v>1138</v>
      </c>
      <c r="B33" s="103">
        <v>663664.72</v>
      </c>
      <c r="C33" s="103">
        <v>661182.93999999994</v>
      </c>
      <c r="D33" s="331">
        <v>460183.09</v>
      </c>
      <c r="E33" s="103">
        <v>407323.95</v>
      </c>
      <c r="F33" s="314">
        <v>349385</v>
      </c>
      <c r="G33" s="314">
        <v>349485.79</v>
      </c>
      <c r="H33" s="103">
        <v>305728.03000000003</v>
      </c>
      <c r="I33" s="103">
        <v>305228.03000000003</v>
      </c>
      <c r="J33" s="103">
        <v>306928.03000000003</v>
      </c>
      <c r="K33" s="303">
        <v>327875.39</v>
      </c>
      <c r="L33" s="357">
        <v>294126.19</v>
      </c>
      <c r="M33" s="330"/>
      <c r="N33" s="330"/>
      <c r="O33" s="287"/>
      <c r="P33" s="287"/>
    </row>
    <row r="34" spans="1:16" ht="13">
      <c r="A34" s="64" t="s">
        <v>1435</v>
      </c>
      <c r="B34" s="208">
        <v>5709894.7699999996</v>
      </c>
      <c r="C34" s="208">
        <v>5645179.3200000003</v>
      </c>
      <c r="D34" s="344">
        <v>5662658.21</v>
      </c>
      <c r="E34" s="208">
        <v>5670819.2599999998</v>
      </c>
      <c r="F34" s="315">
        <v>5664867</v>
      </c>
      <c r="G34" s="315">
        <v>5630453.2599999998</v>
      </c>
      <c r="H34" s="103">
        <v>5543369.9400000004</v>
      </c>
      <c r="I34" s="103">
        <v>5428667.54</v>
      </c>
      <c r="J34" s="103">
        <v>5245608.8</v>
      </c>
      <c r="K34" s="303">
        <v>5290066.37</v>
      </c>
      <c r="L34" s="357">
        <v>5263085.37</v>
      </c>
      <c r="M34" s="330"/>
      <c r="N34" s="330"/>
      <c r="O34" s="287"/>
      <c r="P34" s="287"/>
    </row>
    <row r="35" spans="1:16">
      <c r="B35" s="316" t="s">
        <v>762</v>
      </c>
      <c r="C35" s="316" t="s">
        <v>762</v>
      </c>
      <c r="D35" s="331">
        <v>14639108.539999999</v>
      </c>
      <c r="E35" s="103">
        <v>14564796.67</v>
      </c>
      <c r="F35" s="314">
        <f>SUM(F28:F34)</f>
        <v>14523250</v>
      </c>
      <c r="G35" s="314">
        <f>SUM(G28:G34)</f>
        <v>14497592.229999999</v>
      </c>
      <c r="H35" s="316"/>
      <c r="I35" s="306">
        <f>SUM(I28:I34)</f>
        <v>14227879.399999999</v>
      </c>
      <c r="J35" s="306">
        <f>SUM(J28:J34)</f>
        <v>13996772.599999998</v>
      </c>
      <c r="K35" s="306">
        <f>SUM(K28:K34)</f>
        <v>14060079.18</v>
      </c>
      <c r="L35" s="357"/>
      <c r="M35" s="330"/>
      <c r="N35" s="330"/>
      <c r="O35" s="239"/>
      <c r="P35" s="239"/>
    </row>
    <row r="36" spans="1:16" ht="15">
      <c r="A36" s="447" t="s">
        <v>1139</v>
      </c>
      <c r="B36" s="103">
        <v>14970626.73</v>
      </c>
      <c r="C36" s="103">
        <v>14871220.369999999</v>
      </c>
      <c r="D36" s="331"/>
      <c r="E36" s="103"/>
      <c r="F36" s="317"/>
      <c r="G36" s="318"/>
      <c r="H36" s="103">
        <v>14363899.550000001</v>
      </c>
      <c r="I36" s="103"/>
      <c r="J36" s="103"/>
      <c r="K36" s="303"/>
      <c r="L36" s="357">
        <v>13970105.32</v>
      </c>
      <c r="M36" s="330">
        <v>14639108.539999999</v>
      </c>
      <c r="N36" s="330">
        <f>M36-M28-M30</f>
        <v>9000256.0799999982</v>
      </c>
      <c r="O36" s="239"/>
      <c r="P36" s="239"/>
    </row>
    <row r="37" spans="1:16" ht="15">
      <c r="A37" s="447"/>
      <c r="D37" s="331"/>
      <c r="E37" s="103"/>
      <c r="F37" s="317"/>
      <c r="G37" s="318"/>
      <c r="H37" s="103"/>
      <c r="I37" s="103"/>
      <c r="J37" s="103"/>
      <c r="K37" s="303"/>
      <c r="L37" s="357"/>
      <c r="M37" s="330"/>
      <c r="N37" s="330"/>
      <c r="O37" s="239"/>
      <c r="P37" s="239"/>
    </row>
    <row r="38" spans="1:16" ht="15">
      <c r="A38" s="447" t="s">
        <v>1003</v>
      </c>
      <c r="D38" s="331"/>
      <c r="E38" s="103"/>
      <c r="F38" s="230"/>
      <c r="G38" s="314"/>
      <c r="H38" s="103"/>
      <c r="I38" s="103"/>
      <c r="J38" s="103"/>
      <c r="K38" s="303"/>
      <c r="L38" s="357"/>
      <c r="M38" s="330">
        <v>-1620014.5</v>
      </c>
      <c r="N38" s="330"/>
      <c r="O38" s="287"/>
      <c r="P38" s="287"/>
    </row>
    <row r="39" spans="1:16" ht="15">
      <c r="A39" s="449" t="s">
        <v>925</v>
      </c>
      <c r="B39" s="103">
        <v>1715956.5</v>
      </c>
      <c r="C39" s="103">
        <v>-1674838.5</v>
      </c>
      <c r="D39" s="331">
        <v>-1620014.5</v>
      </c>
      <c r="E39" s="103">
        <v>-1606308.5</v>
      </c>
      <c r="F39" s="318">
        <v>-1578896</v>
      </c>
      <c r="G39" s="318">
        <v>-1565190.5</v>
      </c>
      <c r="H39" s="103">
        <v>-1551485.5</v>
      </c>
      <c r="I39" s="103">
        <v>-1524074.5</v>
      </c>
      <c r="J39" s="103">
        <v>-1441838.5</v>
      </c>
      <c r="K39" s="303">
        <v>-1414426.5</v>
      </c>
      <c r="L39" s="357">
        <v>-1374373.5</v>
      </c>
      <c r="M39" s="330"/>
      <c r="N39" s="330"/>
      <c r="O39" s="287"/>
      <c r="P39" s="287"/>
    </row>
    <row r="40" spans="1:16" ht="13">
      <c r="A40" t="s">
        <v>926</v>
      </c>
      <c r="B40" s="103">
        <v>-135436.42000000001</v>
      </c>
      <c r="C40" s="103">
        <v>-120760.42</v>
      </c>
      <c r="D40" s="331">
        <v>-103050.42</v>
      </c>
      <c r="E40" s="103">
        <v>-99087.42</v>
      </c>
      <c r="F40" s="318">
        <v>-91161</v>
      </c>
      <c r="G40" s="318">
        <v>-85503.92</v>
      </c>
      <c r="H40" s="103">
        <v>-81545.919999999998</v>
      </c>
      <c r="I40" s="103">
        <v>-74185.919999999998</v>
      </c>
      <c r="J40" s="103">
        <v>-53773.919999999998</v>
      </c>
      <c r="K40" s="303">
        <v>-46969.919999999998</v>
      </c>
      <c r="L40" s="357">
        <v>-33291.919999999998</v>
      </c>
      <c r="M40" s="330"/>
      <c r="N40" s="330"/>
      <c r="O40" s="287"/>
      <c r="P40" s="287"/>
    </row>
    <row r="41" spans="1:16" ht="13">
      <c r="A41" t="s">
        <v>927</v>
      </c>
      <c r="B41" s="103">
        <v>-27609.33</v>
      </c>
      <c r="C41" s="103">
        <v>-26952.33</v>
      </c>
      <c r="D41" s="331">
        <v>-26078.33</v>
      </c>
      <c r="E41" s="103">
        <v>-25860.33</v>
      </c>
      <c r="F41" s="318">
        <v>-25424</v>
      </c>
      <c r="G41" s="318">
        <v>-26405.17</v>
      </c>
      <c r="H41" s="103">
        <v>-26192.17</v>
      </c>
      <c r="I41" s="103">
        <v>-25780.17</v>
      </c>
      <c r="J41" s="103">
        <v>-24647.17</v>
      </c>
      <c r="K41" s="303">
        <v>-24371.17</v>
      </c>
      <c r="L41" s="357">
        <v>-23954.67</v>
      </c>
      <c r="M41" s="330">
        <v>-26078.33</v>
      </c>
      <c r="N41" s="330"/>
      <c r="O41" s="287"/>
      <c r="P41" s="287"/>
    </row>
    <row r="42" spans="1:16" ht="13">
      <c r="A42" t="s">
        <v>928</v>
      </c>
      <c r="B42" s="103">
        <v>-2039923.67</v>
      </c>
      <c r="C42" s="103">
        <v>-2032786.67</v>
      </c>
      <c r="D42" s="331">
        <v>-2025219.55</v>
      </c>
      <c r="E42" s="103">
        <v>-2032594.06</v>
      </c>
      <c r="F42" s="318">
        <v>-2059133</v>
      </c>
      <c r="G42" s="318">
        <v>-2056145.57</v>
      </c>
      <c r="H42" s="103">
        <v>-2051793.57</v>
      </c>
      <c r="I42" s="103">
        <v>-2063857.32</v>
      </c>
      <c r="J42" s="103">
        <v>-2045971.32</v>
      </c>
      <c r="K42" s="303">
        <v>-2044266.97</v>
      </c>
      <c r="L42" s="357">
        <v>-2027521.91</v>
      </c>
      <c r="M42" s="330"/>
      <c r="N42" s="330"/>
      <c r="O42" s="287"/>
      <c r="P42" s="287"/>
    </row>
    <row r="43" spans="1:16" ht="13">
      <c r="A43" t="s">
        <v>1439</v>
      </c>
      <c r="B43" s="103">
        <v>-466139.59</v>
      </c>
      <c r="C43" s="103">
        <v>-461615.59</v>
      </c>
      <c r="D43" s="331">
        <v>-456155.59</v>
      </c>
      <c r="E43" s="103">
        <v>-454933.59</v>
      </c>
      <c r="F43" s="318">
        <v>-452489</v>
      </c>
      <c r="G43" s="318">
        <v>-457492.61</v>
      </c>
      <c r="H43" s="103">
        <v>-455886.61</v>
      </c>
      <c r="I43" s="103">
        <v>-452674.61</v>
      </c>
      <c r="J43" s="103">
        <v>-443038.61</v>
      </c>
      <c r="K43" s="303">
        <v>-439826.61</v>
      </c>
      <c r="L43" s="357">
        <v>-434511.61</v>
      </c>
      <c r="M43" s="330"/>
      <c r="N43" s="330"/>
      <c r="O43" s="287"/>
      <c r="P43" s="287"/>
    </row>
    <row r="44" spans="1:16" ht="13">
      <c r="A44" t="s">
        <v>1138</v>
      </c>
      <c r="B44" s="103">
        <v>-314083.90999999997</v>
      </c>
      <c r="C44" s="103">
        <v>-292429.90999999997</v>
      </c>
      <c r="D44" s="331">
        <v>-292292.83</v>
      </c>
      <c r="E44" s="103">
        <v>-290201.83</v>
      </c>
      <c r="F44" s="318">
        <v>-286019</v>
      </c>
      <c r="G44" s="318">
        <v>-283708.83</v>
      </c>
      <c r="H44" s="103">
        <v>-281814.83</v>
      </c>
      <c r="I44" s="103">
        <v>-279357.83</v>
      </c>
      <c r="J44" s="103">
        <v>-277679.83</v>
      </c>
      <c r="K44" s="303">
        <v>-297501.19</v>
      </c>
      <c r="L44" s="357">
        <v>-291783.23</v>
      </c>
      <c r="M44" s="330"/>
      <c r="N44" s="330"/>
      <c r="O44" s="287"/>
      <c r="P44" s="287"/>
    </row>
    <row r="45" spans="1:16" ht="13">
      <c r="A45" s="64" t="s">
        <v>1435</v>
      </c>
      <c r="B45" s="208">
        <v>-4254615.3899999997</v>
      </c>
      <c r="C45" s="208">
        <v>-4207721.82</v>
      </c>
      <c r="D45" s="344">
        <v>-4253571.37</v>
      </c>
      <c r="E45" s="208">
        <v>-4245884.78</v>
      </c>
      <c r="F45" s="319">
        <v>-4188353</v>
      </c>
      <c r="G45" s="319">
        <v>-4166702.81</v>
      </c>
      <c r="H45" s="208">
        <v>-4151408.5</v>
      </c>
      <c r="I45" s="208">
        <v>-4143599.65</v>
      </c>
      <c r="J45" s="208">
        <v>-4240235.45</v>
      </c>
      <c r="K45" s="304">
        <v>-4275490.75</v>
      </c>
      <c r="L45" s="460">
        <v>-4247748.25</v>
      </c>
      <c r="M45" s="330"/>
      <c r="N45" s="330"/>
      <c r="O45" s="287"/>
      <c r="P45" s="287"/>
    </row>
    <row r="46" spans="1:16">
      <c r="B46" s="316" t="s">
        <v>762</v>
      </c>
      <c r="C46" s="316" t="s">
        <v>762</v>
      </c>
      <c r="D46" s="331"/>
      <c r="E46" s="103"/>
      <c r="F46" s="306"/>
      <c r="G46" s="306"/>
      <c r="H46" s="316"/>
      <c r="I46" s="153"/>
      <c r="J46" s="153"/>
      <c r="K46" s="153"/>
      <c r="L46" s="357"/>
      <c r="M46" s="330"/>
      <c r="N46" s="330"/>
      <c r="O46" s="239"/>
      <c r="P46" s="239"/>
    </row>
    <row r="47" spans="1:16" ht="13">
      <c r="A47" t="s">
        <v>1139</v>
      </c>
      <c r="B47" s="316">
        <v>-8953764.8100000005</v>
      </c>
      <c r="C47" s="316">
        <v>-8817105.2400000002</v>
      </c>
      <c r="D47" s="336">
        <v>-8776382.5899999999</v>
      </c>
      <c r="E47" s="316">
        <v>-8754870.5099999998</v>
      </c>
      <c r="F47" s="318">
        <f>SUM(F39:F45)</f>
        <v>-8681475</v>
      </c>
      <c r="G47" s="318">
        <f>SUM(G39:G45)</f>
        <v>-8641149.4100000001</v>
      </c>
      <c r="H47" s="316">
        <v>-8600127.0999999996</v>
      </c>
      <c r="I47" s="103">
        <v>-8563530</v>
      </c>
      <c r="J47" s="103">
        <v>-8527184.8000000007</v>
      </c>
      <c r="K47" s="303">
        <v>-8542853.1099999994</v>
      </c>
      <c r="L47" s="357">
        <v>-8433185.0899999999</v>
      </c>
      <c r="M47" s="330">
        <v>-8776382.5899999999</v>
      </c>
      <c r="N47" s="330">
        <f>M47-M38-M41</f>
        <v>-7130289.7599999998</v>
      </c>
      <c r="O47" s="303">
        <f>N36+N47</f>
        <v>1869966.3199999984</v>
      </c>
      <c r="P47" s="303">
        <f>O47-1800000</f>
        <v>69966.319999998435</v>
      </c>
    </row>
    <row r="48" spans="1:16" ht="13">
      <c r="B48" s="316"/>
      <c r="C48" s="316"/>
      <c r="D48" s="331"/>
      <c r="E48" s="316"/>
      <c r="F48" s="318"/>
      <c r="G48" s="320"/>
      <c r="H48" s="316"/>
      <c r="I48" s="103"/>
      <c r="J48" s="103"/>
      <c r="K48" s="303"/>
      <c r="L48" s="357"/>
    </row>
    <row r="49" spans="1:16" ht="14" customHeight="1">
      <c r="B49" s="316"/>
      <c r="C49" s="316"/>
      <c r="D49" s="331"/>
      <c r="E49" s="316"/>
      <c r="F49" s="318"/>
      <c r="G49" s="320"/>
      <c r="H49" s="316"/>
      <c r="I49" s="103"/>
      <c r="J49" s="103"/>
      <c r="K49" s="303"/>
      <c r="L49" s="357"/>
      <c r="M49" s="239"/>
      <c r="N49" s="239"/>
      <c r="O49" s="239"/>
      <c r="P49" s="239"/>
    </row>
    <row r="50" spans="1:16" s="187" customFormat="1" ht="15">
      <c r="A50" s="447" t="s">
        <v>1262</v>
      </c>
      <c r="B50" s="103">
        <f>B36+B47</f>
        <v>6016861.9199999999</v>
      </c>
      <c r="C50" s="103">
        <f>C36+C47</f>
        <v>6054115.129999999</v>
      </c>
      <c r="D50" s="356">
        <f>D35+D47</f>
        <v>5862725.9499999993</v>
      </c>
      <c r="E50" s="230">
        <v>5809926.1600000001</v>
      </c>
      <c r="F50" s="230">
        <f>F35+F47</f>
        <v>5841775</v>
      </c>
      <c r="G50" s="230">
        <v>5856442.8200000003</v>
      </c>
      <c r="H50" s="324"/>
      <c r="I50" s="230">
        <v>5664349.4000000004</v>
      </c>
      <c r="J50" s="230">
        <v>5469587.7999999998</v>
      </c>
      <c r="K50" s="305">
        <v>5517226.0700000003</v>
      </c>
      <c r="L50" s="357">
        <v>5536920.2300000004</v>
      </c>
      <c r="M50" s="241"/>
      <c r="N50" s="241"/>
      <c r="O50" s="305"/>
      <c r="P50" s="305"/>
    </row>
    <row r="51" spans="1:16" ht="15">
      <c r="A51" s="447"/>
      <c r="E51" s="103"/>
      <c r="F51" s="230"/>
      <c r="G51" s="230"/>
      <c r="H51" s="316"/>
      <c r="I51" s="103"/>
      <c r="J51" s="103"/>
      <c r="K51" s="303"/>
      <c r="L51" s="357"/>
      <c r="M51" s="239"/>
      <c r="N51" s="239"/>
      <c r="O51" s="305"/>
      <c r="P51" s="305"/>
    </row>
    <row r="52" spans="1:16" ht="15">
      <c r="A52" s="447"/>
      <c r="E52" s="103"/>
      <c r="F52" s="230"/>
      <c r="G52" s="230"/>
      <c r="H52" s="103"/>
      <c r="I52" s="103"/>
      <c r="J52" s="103"/>
      <c r="K52" s="303"/>
      <c r="L52" s="357"/>
      <c r="M52" s="239"/>
      <c r="N52" s="239"/>
      <c r="O52" s="239"/>
      <c r="P52" s="239"/>
    </row>
    <row r="53" spans="1:16" ht="15">
      <c r="A53" s="447" t="s">
        <v>1004</v>
      </c>
      <c r="E53" s="103"/>
      <c r="F53" s="230"/>
      <c r="G53" s="314"/>
      <c r="H53" s="103"/>
      <c r="I53" s="103"/>
      <c r="J53" s="103"/>
      <c r="K53" s="303"/>
      <c r="L53" s="357"/>
      <c r="M53" s="239"/>
      <c r="N53" s="239"/>
      <c r="O53" s="239"/>
      <c r="P53" s="239"/>
    </row>
    <row r="54" spans="1:16" ht="13">
      <c r="A54" t="s">
        <v>1018</v>
      </c>
      <c r="B54" s="103">
        <v>27998.99</v>
      </c>
      <c r="C54" s="103">
        <v>25888.99</v>
      </c>
      <c r="D54" s="331">
        <v>25888.99</v>
      </c>
      <c r="E54" s="103">
        <v>25888.99</v>
      </c>
      <c r="F54" s="317"/>
      <c r="G54" s="318">
        <v>29363.99</v>
      </c>
      <c r="H54" s="103">
        <v>29363.99</v>
      </c>
      <c r="I54" s="103">
        <v>29363.99</v>
      </c>
      <c r="J54" s="103">
        <v>32585.54</v>
      </c>
      <c r="K54" s="303">
        <v>28175.119999999999</v>
      </c>
      <c r="L54" s="357">
        <v>35600.120000000003</v>
      </c>
      <c r="M54" s="239"/>
      <c r="N54" s="239"/>
      <c r="O54" s="239"/>
      <c r="P54" s="239"/>
    </row>
    <row r="55" spans="1:16" ht="15">
      <c r="A55" s="449" t="s">
        <v>850</v>
      </c>
      <c r="B55" s="103">
        <v>26869.52</v>
      </c>
      <c r="C55" s="103">
        <v>28835.599999999999</v>
      </c>
      <c r="D55" s="331">
        <v>31582.04</v>
      </c>
      <c r="E55" s="103">
        <v>32362.400000000001</v>
      </c>
      <c r="F55" s="318"/>
      <c r="G55" s="318">
        <v>34703.480000000003</v>
      </c>
      <c r="H55" s="103">
        <v>35483.839999999997</v>
      </c>
      <c r="I55" s="103">
        <v>37044.559999999998</v>
      </c>
      <c r="J55" s="103">
        <v>41726.720000000001</v>
      </c>
      <c r="K55" s="303">
        <v>43287.44</v>
      </c>
      <c r="L55" s="357">
        <v>45628.52</v>
      </c>
      <c r="M55" s="239"/>
      <c r="N55" s="239"/>
      <c r="O55" s="239"/>
      <c r="P55" s="239"/>
    </row>
    <row r="56" spans="1:16" ht="13">
      <c r="B56" s="316" t="s">
        <v>762</v>
      </c>
      <c r="C56" s="316" t="s">
        <v>762</v>
      </c>
      <c r="D56" s="331"/>
      <c r="E56" s="316" t="s">
        <v>762</v>
      </c>
      <c r="F56" s="318"/>
      <c r="G56" s="320" t="s">
        <v>762</v>
      </c>
      <c r="H56" s="316"/>
      <c r="I56" s="153"/>
      <c r="J56" s="153"/>
      <c r="K56" s="153"/>
      <c r="L56" s="357"/>
      <c r="M56" s="239"/>
      <c r="N56" s="239"/>
      <c r="O56" s="239"/>
      <c r="P56" s="239"/>
    </row>
    <row r="57" spans="1:16" ht="13">
      <c r="A57" t="s">
        <v>851</v>
      </c>
      <c r="B57" s="103">
        <f>B55+B54</f>
        <v>54868.51</v>
      </c>
      <c r="C57" s="103">
        <f>C55+C54</f>
        <v>54724.59</v>
      </c>
      <c r="D57" s="331">
        <f>D55+D54</f>
        <v>57471.03</v>
      </c>
      <c r="E57" s="103">
        <v>58251.39</v>
      </c>
      <c r="F57" s="318"/>
      <c r="G57" s="230">
        <v>64067.47</v>
      </c>
      <c r="H57" s="103"/>
      <c r="I57" s="103">
        <v>66408.55</v>
      </c>
      <c r="J57" s="103">
        <v>74312.259999999995</v>
      </c>
      <c r="K57" s="303">
        <v>71462.559999999998</v>
      </c>
      <c r="L57" s="357">
        <v>81228.639999999999</v>
      </c>
      <c r="M57" s="239"/>
      <c r="N57" s="239"/>
      <c r="O57" s="239"/>
      <c r="P57" s="239"/>
    </row>
    <row r="58" spans="1:16">
      <c r="B58" s="316" t="s">
        <v>762</v>
      </c>
      <c r="C58" s="316" t="s">
        <v>762</v>
      </c>
      <c r="D58" s="331"/>
      <c r="E58" s="316" t="s">
        <v>762</v>
      </c>
      <c r="F58" s="318"/>
      <c r="G58" s="322" t="s">
        <v>762</v>
      </c>
      <c r="H58" s="316"/>
      <c r="I58" s="307"/>
      <c r="J58" s="307"/>
      <c r="K58" s="307"/>
      <c r="L58" s="357"/>
      <c r="M58" s="239"/>
      <c r="N58" s="239"/>
      <c r="O58" s="239"/>
      <c r="P58" s="239"/>
    </row>
    <row r="59" spans="1:16" s="187" customFormat="1" ht="15">
      <c r="A59" s="447" t="s">
        <v>852</v>
      </c>
      <c r="B59" s="103">
        <f>B57+B50+B24</f>
        <v>11000070.609999999</v>
      </c>
      <c r="C59" s="103">
        <f>C57+C50+C24</f>
        <v>10757829.77</v>
      </c>
      <c r="D59" s="356">
        <f>D57+D50+D24</f>
        <v>10043255.02</v>
      </c>
      <c r="E59" s="230">
        <v>9573488.3900000006</v>
      </c>
      <c r="F59" s="230"/>
      <c r="G59" s="230">
        <v>9689385.5199999996</v>
      </c>
      <c r="H59" s="230"/>
      <c r="I59" s="230">
        <v>9596454.2799999993</v>
      </c>
      <c r="J59" s="230">
        <v>8438301.1799999997</v>
      </c>
      <c r="K59" s="305">
        <v>8377262.8499999996</v>
      </c>
      <c r="L59" s="357">
        <v>8538038.9199999999</v>
      </c>
      <c r="M59" s="241"/>
      <c r="N59" s="241"/>
      <c r="O59" s="241"/>
      <c r="P59" s="241"/>
    </row>
    <row r="60" spans="1:16" ht="17">
      <c r="B60" s="321" t="s">
        <v>762</v>
      </c>
      <c r="C60" s="321" t="s">
        <v>762</v>
      </c>
      <c r="D60" s="331"/>
      <c r="E60" s="321" t="s">
        <v>762</v>
      </c>
      <c r="F60" s="317"/>
      <c r="G60" s="324" t="s">
        <v>762</v>
      </c>
      <c r="H60" s="321"/>
      <c r="I60" s="308"/>
      <c r="J60" s="308"/>
      <c r="K60" s="303"/>
      <c r="L60" s="357"/>
      <c r="M60" s="240"/>
      <c r="N60" s="240"/>
      <c r="O60" s="240"/>
      <c r="P60" s="240"/>
    </row>
    <row r="61" spans="1:16" ht="17">
      <c r="A61" s="447" t="s">
        <v>770</v>
      </c>
      <c r="B61" s="323"/>
      <c r="C61" s="323"/>
      <c r="D61" s="331"/>
      <c r="E61" s="103"/>
      <c r="F61" s="318"/>
      <c r="G61" s="314"/>
      <c r="H61" s="103"/>
      <c r="I61" s="103"/>
      <c r="J61" s="103"/>
      <c r="K61" s="303"/>
      <c r="L61" s="357"/>
      <c r="M61" s="346" t="s">
        <v>1157</v>
      </c>
      <c r="N61" s="346" t="s">
        <v>1156</v>
      </c>
      <c r="O61" s="287"/>
      <c r="P61" s="287"/>
    </row>
    <row r="62" spans="1:16" ht="18" thickBot="1">
      <c r="A62" t="s">
        <v>1200</v>
      </c>
      <c r="D62" s="331"/>
      <c r="E62" s="323"/>
      <c r="F62" s="230"/>
      <c r="G62" s="322"/>
      <c r="H62" s="323"/>
      <c r="I62" s="103"/>
      <c r="J62" s="103"/>
      <c r="K62" s="303">
        <v>1016924</v>
      </c>
      <c r="L62" s="357"/>
      <c r="M62" s="331"/>
      <c r="N62" s="331"/>
      <c r="O62" s="287"/>
      <c r="P62" s="287"/>
    </row>
    <row r="63" spans="1:16" thickBot="1">
      <c r="A63" s="449" t="s">
        <v>853</v>
      </c>
      <c r="B63" s="103">
        <v>453821.22</v>
      </c>
      <c r="C63" s="103">
        <v>384002.99</v>
      </c>
      <c r="D63" s="331">
        <v>370087.57</v>
      </c>
      <c r="E63" s="103">
        <v>304939.27</v>
      </c>
      <c r="F63" s="318"/>
      <c r="G63" s="318">
        <v>510779.36</v>
      </c>
      <c r="H63" s="103">
        <v>493544.76</v>
      </c>
      <c r="I63" s="103">
        <v>490345.05</v>
      </c>
      <c r="J63" s="103">
        <v>335597.06</v>
      </c>
      <c r="K63" s="303">
        <v>51642.53</v>
      </c>
      <c r="L63" s="357">
        <v>392154.31</v>
      </c>
      <c r="M63" s="331"/>
      <c r="N63" s="332">
        <v>370087</v>
      </c>
      <c r="O63" s="287"/>
      <c r="P63" s="287"/>
    </row>
    <row r="64" spans="1:16" ht="14" thickBot="1">
      <c r="A64" t="s">
        <v>553</v>
      </c>
      <c r="B64" s="103">
        <v>38717.89</v>
      </c>
      <c r="C64" s="103">
        <v>91831.35</v>
      </c>
      <c r="D64" s="331">
        <v>66475.27</v>
      </c>
      <c r="E64" s="103">
        <v>25204.53</v>
      </c>
      <c r="F64" s="318"/>
      <c r="G64" s="318">
        <v>23964.59</v>
      </c>
      <c r="H64" s="103">
        <v>32064.55</v>
      </c>
      <c r="I64" s="103">
        <v>59043.46</v>
      </c>
      <c r="J64" s="103">
        <v>43137.4</v>
      </c>
      <c r="K64" s="303">
        <v>14165.33</v>
      </c>
      <c r="L64" s="357">
        <v>33714.11</v>
      </c>
      <c r="M64" s="331"/>
      <c r="N64" s="332">
        <v>66475.27</v>
      </c>
      <c r="O64" s="287"/>
      <c r="P64" s="287"/>
    </row>
    <row r="65" spans="1:16" ht="14" thickBot="1">
      <c r="A65" t="s">
        <v>1567</v>
      </c>
      <c r="B65" s="103">
        <v>268244.69</v>
      </c>
      <c r="C65" s="103">
        <v>303696.58</v>
      </c>
      <c r="D65" s="331">
        <v>254977.82</v>
      </c>
      <c r="E65" s="103">
        <v>252175.82</v>
      </c>
      <c r="F65" s="318"/>
      <c r="G65" s="318">
        <v>212353.79</v>
      </c>
      <c r="H65" s="103">
        <v>172917.52</v>
      </c>
      <c r="I65" s="103">
        <v>139499</v>
      </c>
      <c r="J65" s="103">
        <v>78016.08</v>
      </c>
      <c r="K65" s="303">
        <v>111190.43</v>
      </c>
      <c r="L65" s="357">
        <v>67438.59</v>
      </c>
      <c r="M65" s="333"/>
      <c r="N65" s="333"/>
      <c r="O65" s="287"/>
      <c r="P65" s="287"/>
    </row>
    <row r="66" spans="1:16" ht="14" thickBot="1">
      <c r="A66" t="s">
        <v>1335</v>
      </c>
      <c r="B66" s="103">
        <v>0</v>
      </c>
      <c r="C66" s="103">
        <v>250000</v>
      </c>
      <c r="D66" s="331">
        <v>0</v>
      </c>
      <c r="E66" s="103">
        <v>0</v>
      </c>
      <c r="F66" s="318"/>
      <c r="G66" s="318">
        <v>250000</v>
      </c>
      <c r="H66" s="103">
        <v>350000</v>
      </c>
      <c r="I66" s="103">
        <v>500000</v>
      </c>
      <c r="J66" s="103">
        <v>600000</v>
      </c>
      <c r="K66" s="303">
        <v>60000</v>
      </c>
      <c r="L66" s="357"/>
      <c r="M66" s="332">
        <v>0</v>
      </c>
      <c r="N66" s="331"/>
      <c r="O66" s="287"/>
      <c r="P66" s="287"/>
    </row>
    <row r="67" spans="1:16" ht="14" thickBot="1">
      <c r="A67" t="s">
        <v>1556</v>
      </c>
      <c r="B67" s="103">
        <v>433.04</v>
      </c>
      <c r="C67" s="103">
        <v>1715.04</v>
      </c>
      <c r="D67" s="331">
        <v>3403.01</v>
      </c>
      <c r="E67" s="103">
        <v>3820.43</v>
      </c>
      <c r="F67" s="318"/>
      <c r="G67" s="318">
        <v>4884.99</v>
      </c>
      <c r="H67" s="103">
        <v>4884.99</v>
      </c>
      <c r="I67" s="103">
        <v>4884.99</v>
      </c>
      <c r="J67" s="103">
        <v>14679.86</v>
      </c>
      <c r="K67" s="303">
        <v>24341.43</v>
      </c>
      <c r="L67" s="357">
        <v>746000</v>
      </c>
      <c r="M67" s="332">
        <v>0</v>
      </c>
      <c r="N67" s="331"/>
      <c r="O67" s="287"/>
      <c r="P67" s="287"/>
    </row>
    <row r="68" spans="1:16" ht="14" thickBot="1">
      <c r="A68" t="s">
        <v>1557</v>
      </c>
      <c r="B68" s="103">
        <v>159999.96</v>
      </c>
      <c r="C68" s="103">
        <v>159999.96</v>
      </c>
      <c r="D68" s="331">
        <v>159999.96</v>
      </c>
      <c r="E68" s="103">
        <v>159999.96</v>
      </c>
      <c r="F68" s="318"/>
      <c r="G68" s="318">
        <v>159999.96</v>
      </c>
      <c r="H68" s="103">
        <v>159999.96</v>
      </c>
      <c r="I68" s="103">
        <v>159999.96</v>
      </c>
      <c r="J68" s="103">
        <v>159999.96</v>
      </c>
      <c r="K68" s="303">
        <v>159999.96</v>
      </c>
      <c r="M68" s="332">
        <v>429000</v>
      </c>
      <c r="N68" s="331"/>
      <c r="O68" s="287"/>
      <c r="P68" s="287"/>
    </row>
    <row r="69" spans="1:16" thickBot="1">
      <c r="A69" t="s">
        <v>1524</v>
      </c>
      <c r="B69" s="459">
        <v>383445.8</v>
      </c>
      <c r="C69" s="103">
        <v>411779.12</v>
      </c>
      <c r="D69" s="331">
        <v>429000</v>
      </c>
      <c r="E69" s="103">
        <v>429000</v>
      </c>
      <c r="F69" s="318"/>
      <c r="G69" s="318">
        <v>256300</v>
      </c>
      <c r="H69" s="103">
        <v>256300</v>
      </c>
      <c r="I69" s="103">
        <v>123800</v>
      </c>
      <c r="J69" s="103">
        <v>249700</v>
      </c>
      <c r="K69" s="303">
        <v>162100</v>
      </c>
      <c r="L69" s="357">
        <v>91300</v>
      </c>
      <c r="M69" s="331"/>
      <c r="N69" s="334"/>
      <c r="O69" s="287"/>
      <c r="P69" s="287"/>
    </row>
    <row r="70" spans="1:16" thickBot="1">
      <c r="A70" s="477" t="s">
        <v>120</v>
      </c>
      <c r="B70" s="478" t="s">
        <v>1478</v>
      </c>
      <c r="C70" s="478" t="s">
        <v>1478</v>
      </c>
      <c r="D70" s="331">
        <v>284233.28000000003</v>
      </c>
      <c r="E70" s="103">
        <v>284233.28000000003</v>
      </c>
      <c r="F70" s="318"/>
      <c r="G70" s="318">
        <v>359233.28000000003</v>
      </c>
      <c r="H70" s="103">
        <v>384233.28</v>
      </c>
      <c r="I70" s="103">
        <v>434233.28</v>
      </c>
      <c r="J70" s="103">
        <v>413333.28</v>
      </c>
      <c r="K70" s="303">
        <v>413333.28</v>
      </c>
      <c r="L70" s="357">
        <v>159999.96</v>
      </c>
      <c r="M70" s="335"/>
      <c r="N70" s="331"/>
      <c r="O70" s="347">
        <v>160000</v>
      </c>
      <c r="P70" s="347"/>
    </row>
    <row r="71" spans="1:16" ht="14" thickBot="1">
      <c r="A71" t="s">
        <v>1121</v>
      </c>
      <c r="B71" s="103">
        <v>33308.69</v>
      </c>
      <c r="C71" s="103">
        <v>33308.69</v>
      </c>
      <c r="D71" s="331">
        <v>33308.69</v>
      </c>
      <c r="E71" s="103">
        <v>16234.97</v>
      </c>
      <c r="F71" s="318"/>
      <c r="G71" s="318">
        <v>16150.21</v>
      </c>
      <c r="H71" s="103">
        <v>16150.21</v>
      </c>
      <c r="I71" s="103">
        <v>16150.21</v>
      </c>
      <c r="J71" s="103">
        <v>16150.21</v>
      </c>
      <c r="K71" s="303">
        <v>16150.21</v>
      </c>
      <c r="L71" s="357">
        <v>413333.28</v>
      </c>
      <c r="M71" s="332">
        <v>284233.28000000003</v>
      </c>
      <c r="N71" s="331"/>
      <c r="O71" s="287"/>
      <c r="P71" s="287"/>
    </row>
    <row r="72" spans="1:16" ht="14" thickBot="1">
      <c r="A72" t="s">
        <v>1400</v>
      </c>
      <c r="B72" s="103">
        <v>71948.149999999994</v>
      </c>
      <c r="C72" s="103">
        <v>68068.69</v>
      </c>
      <c r="D72" s="331">
        <v>656185.23</v>
      </c>
      <c r="E72" s="103">
        <v>606185.23</v>
      </c>
      <c r="F72" s="318"/>
      <c r="G72" s="318">
        <v>425000</v>
      </c>
      <c r="H72" s="103">
        <v>375000</v>
      </c>
      <c r="I72" s="103"/>
      <c r="J72" s="103"/>
      <c r="K72" s="303"/>
      <c r="L72" s="357">
        <v>16814.849999999999</v>
      </c>
      <c r="M72" s="332">
        <v>33308.69</v>
      </c>
      <c r="N72" s="331"/>
      <c r="O72" s="287"/>
      <c r="P72" s="287"/>
    </row>
    <row r="73" spans="1:16" ht="14" thickBot="1">
      <c r="A73" t="s">
        <v>1122</v>
      </c>
      <c r="B73" s="103">
        <v>51136.58</v>
      </c>
      <c r="C73" s="103">
        <v>51136.58</v>
      </c>
      <c r="D73" s="331">
        <v>51136.58</v>
      </c>
      <c r="E73" s="103">
        <v>51136.58</v>
      </c>
      <c r="F73" s="318"/>
      <c r="G73" s="318">
        <v>44198.53</v>
      </c>
      <c r="H73" s="103">
        <v>44198.53</v>
      </c>
      <c r="I73" s="103">
        <v>44198.53</v>
      </c>
      <c r="J73" s="103">
        <v>44198.53</v>
      </c>
      <c r="K73" s="303">
        <v>44198.53</v>
      </c>
      <c r="L73" s="357"/>
      <c r="M73" s="336">
        <v>656185</v>
      </c>
      <c r="N73" s="336"/>
    </row>
    <row r="74" spans="1:16" ht="13">
      <c r="A74" t="s">
        <v>1615</v>
      </c>
      <c r="B74" s="103">
        <v>243485.32</v>
      </c>
      <c r="C74" s="103">
        <v>243485.32</v>
      </c>
      <c r="D74" s="331">
        <v>243485.32</v>
      </c>
      <c r="E74" s="103">
        <v>243485.32</v>
      </c>
      <c r="F74" s="318"/>
      <c r="G74" s="318">
        <v>258093.25</v>
      </c>
      <c r="H74" s="103">
        <v>258093.25</v>
      </c>
      <c r="I74" s="103">
        <v>258093.25</v>
      </c>
      <c r="J74" s="103">
        <v>258093.25</v>
      </c>
      <c r="K74" s="303">
        <v>258093.25</v>
      </c>
      <c r="L74" s="357">
        <v>50147</v>
      </c>
      <c r="M74" s="336"/>
      <c r="N74" s="337">
        <v>51136</v>
      </c>
      <c r="O74" s="287"/>
      <c r="P74" s="287"/>
    </row>
    <row r="75" spans="1:16" ht="13">
      <c r="A75" t="s">
        <v>1416</v>
      </c>
      <c r="B75" s="103">
        <v>21962.39</v>
      </c>
      <c r="C75" s="103">
        <v>27247.87</v>
      </c>
      <c r="D75" s="331">
        <v>27495.919999999998</v>
      </c>
      <c r="E75" s="103">
        <v>24691.7</v>
      </c>
      <c r="F75" s="318"/>
      <c r="G75" s="318"/>
      <c r="H75" s="103">
        <v>21855.73</v>
      </c>
      <c r="I75" s="103"/>
      <c r="J75" s="103"/>
      <c r="K75" s="303"/>
      <c r="L75" s="357">
        <v>238074.71</v>
      </c>
      <c r="M75" s="331"/>
      <c r="N75" s="338">
        <v>243485</v>
      </c>
      <c r="O75" s="287"/>
      <c r="P75" s="287"/>
    </row>
    <row r="76" spans="1:16" ht="13">
      <c r="A76" t="s">
        <v>185</v>
      </c>
      <c r="B76" s="103">
        <v>30144.51</v>
      </c>
      <c r="C76" s="103">
        <v>30550.76</v>
      </c>
      <c r="D76" s="336">
        <v>28664.46</v>
      </c>
      <c r="E76" s="103">
        <v>25287.74</v>
      </c>
      <c r="F76" s="318"/>
      <c r="G76" s="318">
        <v>16975.46</v>
      </c>
      <c r="H76" s="103">
        <v>27327.19</v>
      </c>
      <c r="I76" s="103">
        <v>20185.39</v>
      </c>
      <c r="J76" s="103">
        <v>21579.32</v>
      </c>
      <c r="K76" s="303"/>
      <c r="L76" s="357"/>
      <c r="M76" s="336"/>
      <c r="N76" s="339">
        <v>27495.919999999998</v>
      </c>
    </row>
    <row r="77" spans="1:16" ht="14" thickBot="1">
      <c r="A77" t="s">
        <v>1265</v>
      </c>
      <c r="B77" s="103">
        <v>8781.49</v>
      </c>
      <c r="C77" s="103">
        <v>9964.31</v>
      </c>
      <c r="D77" s="331">
        <v>7506.21</v>
      </c>
      <c r="E77" s="103">
        <v>7394.92</v>
      </c>
      <c r="F77" s="318"/>
      <c r="G77" s="318">
        <v>24091.06</v>
      </c>
      <c r="H77" s="103"/>
      <c r="I77" s="103">
        <v>23279.31</v>
      </c>
      <c r="J77" s="103">
        <v>21780.3</v>
      </c>
      <c r="K77" s="303">
        <v>4048.05</v>
      </c>
      <c r="L77" s="357">
        <v>17592.18</v>
      </c>
      <c r="M77" s="331"/>
      <c r="N77" s="338">
        <v>28664.46</v>
      </c>
      <c r="O77" s="287"/>
      <c r="P77" s="287"/>
    </row>
    <row r="78" spans="1:16" thickBot="1">
      <c r="A78" s="477" t="s">
        <v>326</v>
      </c>
      <c r="B78" s="478" t="s">
        <v>1478</v>
      </c>
      <c r="C78" s="478" t="s">
        <v>1478</v>
      </c>
      <c r="D78" s="478" t="s">
        <v>1478</v>
      </c>
      <c r="E78" s="478" t="s">
        <v>1478</v>
      </c>
      <c r="F78" s="318"/>
      <c r="G78" s="318">
        <v>6934.12</v>
      </c>
      <c r="H78" s="103"/>
      <c r="I78" s="103">
        <v>7146.23</v>
      </c>
      <c r="J78" s="103">
        <v>6186.15</v>
      </c>
      <c r="K78" s="303">
        <v>134.35</v>
      </c>
      <c r="L78" s="357">
        <v>19485.23</v>
      </c>
      <c r="M78" s="331"/>
      <c r="N78" s="338">
        <v>7506</v>
      </c>
      <c r="O78" s="287"/>
      <c r="P78" s="287"/>
    </row>
    <row r="79" spans="1:16" ht="15">
      <c r="A79" t="s">
        <v>1266</v>
      </c>
      <c r="B79" s="459">
        <v>1190</v>
      </c>
      <c r="C79" s="103">
        <v>1178.76</v>
      </c>
      <c r="D79" s="331">
        <v>1155.28</v>
      </c>
      <c r="E79" s="103">
        <v>1098.21</v>
      </c>
      <c r="F79" s="318"/>
      <c r="G79" s="318">
        <v>2399.13</v>
      </c>
      <c r="H79" s="103"/>
      <c r="I79" s="103">
        <v>126.41</v>
      </c>
      <c r="J79" s="103">
        <v>99.92</v>
      </c>
      <c r="K79" s="303">
        <v>1116.3499999999999</v>
      </c>
      <c r="L79" s="357">
        <v>60.82</v>
      </c>
      <c r="M79" s="331"/>
      <c r="N79" s="329"/>
      <c r="O79" s="287"/>
      <c r="P79" s="287"/>
    </row>
    <row r="80" spans="1:16" ht="13">
      <c r="A80" t="s">
        <v>1329</v>
      </c>
      <c r="B80" s="103">
        <v>973.93</v>
      </c>
      <c r="C80" s="103">
        <v>2150.21</v>
      </c>
      <c r="D80" s="336">
        <v>31166.95</v>
      </c>
      <c r="E80" s="103">
        <v>25972.3</v>
      </c>
      <c r="F80" s="318"/>
      <c r="G80" s="318">
        <v>3144.39</v>
      </c>
      <c r="H80" s="103">
        <v>1662.96</v>
      </c>
      <c r="I80" s="103">
        <v>2086.85</v>
      </c>
      <c r="J80" s="103">
        <v>894.9</v>
      </c>
      <c r="K80" s="303">
        <v>4147.76</v>
      </c>
      <c r="L80" s="357">
        <v>1104.69</v>
      </c>
      <c r="M80" s="331"/>
      <c r="N80" s="338">
        <v>1155</v>
      </c>
      <c r="O80" s="287"/>
      <c r="P80" s="287"/>
    </row>
    <row r="81" spans="1:16" ht="13">
      <c r="A81" t="s">
        <v>1330</v>
      </c>
      <c r="B81" s="103">
        <v>-84.55</v>
      </c>
      <c r="C81" s="103">
        <v>-620.24</v>
      </c>
      <c r="D81" s="331">
        <v>1139.71</v>
      </c>
      <c r="E81" s="103">
        <v>1635.45</v>
      </c>
      <c r="F81" s="318"/>
      <c r="G81" s="318">
        <v>247.75</v>
      </c>
      <c r="H81" s="103">
        <v>169.75</v>
      </c>
      <c r="I81" s="103">
        <v>2769.86</v>
      </c>
      <c r="J81" s="103">
        <v>38727.65</v>
      </c>
      <c r="K81" s="303">
        <v>156.34</v>
      </c>
      <c r="L81" s="357"/>
      <c r="M81" s="331"/>
      <c r="N81" s="338">
        <v>31167</v>
      </c>
      <c r="O81" s="287"/>
      <c r="P81" s="287"/>
    </row>
    <row r="82" spans="1:16" ht="13">
      <c r="A82" t="s">
        <v>761</v>
      </c>
      <c r="B82" s="103">
        <v>379.2</v>
      </c>
      <c r="D82" s="331"/>
      <c r="E82" s="103"/>
      <c r="F82" s="318"/>
      <c r="G82" s="318"/>
      <c r="H82" s="103"/>
      <c r="I82" s="103"/>
      <c r="J82" s="103"/>
      <c r="K82" s="303"/>
      <c r="L82" s="357"/>
      <c r="M82" s="331"/>
      <c r="N82" s="338"/>
      <c r="O82" s="287"/>
      <c r="P82" s="287"/>
    </row>
    <row r="83" spans="1:16" ht="13">
      <c r="A83" t="s">
        <v>1321</v>
      </c>
      <c r="B83" s="103">
        <v>24265.54</v>
      </c>
      <c r="C83" s="103">
        <v>33713.599999999999</v>
      </c>
      <c r="D83" s="331">
        <v>56660.55</v>
      </c>
      <c r="E83" s="103">
        <v>57661.42</v>
      </c>
      <c r="F83" s="318"/>
      <c r="G83" s="318">
        <v>27305.919999999998</v>
      </c>
      <c r="H83" s="103">
        <v>21427.42</v>
      </c>
      <c r="I83" s="103">
        <v>-733.97</v>
      </c>
      <c r="J83" s="103">
        <v>589.03</v>
      </c>
      <c r="K83" s="303">
        <v>65021.47</v>
      </c>
      <c r="L83" s="357"/>
      <c r="M83" s="331"/>
      <c r="N83" s="329"/>
      <c r="O83" s="287"/>
      <c r="P83" s="287"/>
    </row>
    <row r="84" spans="1:16" ht="13">
      <c r="A84" t="s">
        <v>1568</v>
      </c>
      <c r="B84" s="103">
        <v>30000</v>
      </c>
      <c r="C84" s="103">
        <v>21000</v>
      </c>
      <c r="D84" s="331">
        <v>22965</v>
      </c>
      <c r="E84" s="103">
        <v>21090</v>
      </c>
      <c r="F84" s="318"/>
      <c r="G84" s="318">
        <v>34350</v>
      </c>
      <c r="H84" s="103">
        <v>31350</v>
      </c>
      <c r="I84" s="103">
        <v>27129.67</v>
      </c>
      <c r="J84" s="103">
        <v>58098.97</v>
      </c>
      <c r="K84" s="303">
        <v>18500</v>
      </c>
      <c r="L84" s="357">
        <v>22188.18</v>
      </c>
      <c r="M84" s="331"/>
      <c r="N84" s="338">
        <v>56660</v>
      </c>
      <c r="O84" s="287"/>
      <c r="P84" s="287"/>
    </row>
    <row r="85" spans="1:16" ht="13">
      <c r="A85" t="s">
        <v>1621</v>
      </c>
      <c r="B85" s="103">
        <v>181116.09</v>
      </c>
      <c r="C85" s="103">
        <v>231600</v>
      </c>
      <c r="D85" s="331">
        <v>160400</v>
      </c>
      <c r="E85" s="103">
        <v>142600</v>
      </c>
      <c r="F85" s="318"/>
      <c r="G85" s="318">
        <v>195627.91</v>
      </c>
      <c r="H85" s="103">
        <v>178127.91</v>
      </c>
      <c r="I85" s="103">
        <v>25350</v>
      </c>
      <c r="J85" s="103">
        <v>24500</v>
      </c>
      <c r="K85" s="303">
        <v>105000</v>
      </c>
      <c r="L85" s="357">
        <v>21625</v>
      </c>
      <c r="M85" s="331"/>
      <c r="N85" s="338">
        <v>22965</v>
      </c>
      <c r="O85" s="287"/>
      <c r="P85" s="287"/>
    </row>
    <row r="86" spans="1:16" ht="13">
      <c r="A86" t="s">
        <v>1622</v>
      </c>
      <c r="B86" s="103">
        <v>19208.849999999999</v>
      </c>
      <c r="C86" s="103">
        <v>11708.85</v>
      </c>
      <c r="D86" s="331">
        <v>14411</v>
      </c>
      <c r="E86" s="103">
        <v>33000</v>
      </c>
      <c r="F86" s="318"/>
      <c r="G86" s="318">
        <v>17600</v>
      </c>
      <c r="H86" s="103">
        <v>13200</v>
      </c>
      <c r="I86" s="103">
        <v>245000</v>
      </c>
      <c r="J86" s="103">
        <v>140000</v>
      </c>
      <c r="K86" s="303">
        <v>8000</v>
      </c>
      <c r="L86" s="357">
        <v>251983.7</v>
      </c>
      <c r="M86" s="331"/>
      <c r="N86" s="341"/>
      <c r="O86" s="287">
        <v>160400</v>
      </c>
      <c r="P86" s="287"/>
    </row>
    <row r="87" spans="1:16" ht="13">
      <c r="A87" t="s">
        <v>1623</v>
      </c>
      <c r="B87" s="103">
        <v>0</v>
      </c>
      <c r="C87" s="103">
        <v>30000</v>
      </c>
      <c r="D87" s="331">
        <v>6460.19</v>
      </c>
      <c r="E87" s="103">
        <v>0</v>
      </c>
      <c r="F87" s="318"/>
      <c r="G87" s="318">
        <v>7840.44</v>
      </c>
      <c r="H87" s="103">
        <v>0</v>
      </c>
      <c r="I87" s="103">
        <v>4400</v>
      </c>
      <c r="J87" s="103">
        <v>8000</v>
      </c>
      <c r="K87" s="303">
        <v>2000</v>
      </c>
      <c r="L87" s="357">
        <v>6000</v>
      </c>
      <c r="M87" s="331"/>
      <c r="N87" s="338">
        <v>14411</v>
      </c>
      <c r="O87" s="287"/>
      <c r="P87" s="287"/>
    </row>
    <row r="88" spans="1:16" s="209" customFormat="1" ht="13">
      <c r="A88" s="209" t="s">
        <v>1624</v>
      </c>
      <c r="B88" s="137">
        <v>60964.35</v>
      </c>
      <c r="C88" s="137">
        <v>41424.050000000003</v>
      </c>
      <c r="D88" s="331">
        <v>62436.95</v>
      </c>
      <c r="E88" s="137">
        <v>50755.68</v>
      </c>
      <c r="F88" s="456"/>
      <c r="G88" s="456">
        <v>64539.64</v>
      </c>
      <c r="H88" s="137">
        <v>52466.49</v>
      </c>
      <c r="I88" s="137">
        <v>57396.77</v>
      </c>
      <c r="J88" s="137">
        <v>49140.99</v>
      </c>
      <c r="K88" s="303">
        <v>80430.070000000007</v>
      </c>
      <c r="L88" s="137">
        <v>28370</v>
      </c>
      <c r="M88" s="331"/>
      <c r="N88" s="331">
        <v>6460.19</v>
      </c>
      <c r="O88" s="287"/>
      <c r="P88" s="287"/>
    </row>
    <row r="89" spans="1:16" s="187" customFormat="1" ht="14" thickBot="1">
      <c r="A89" s="227"/>
      <c r="B89" s="457" t="s">
        <v>762</v>
      </c>
      <c r="C89" s="457"/>
      <c r="D89" s="343"/>
      <c r="E89" s="457"/>
      <c r="F89" s="451"/>
      <c r="G89" s="458"/>
      <c r="H89" s="457"/>
      <c r="I89" s="450"/>
      <c r="J89" s="450"/>
      <c r="K89" s="452"/>
      <c r="L89" s="453">
        <v>55871.68</v>
      </c>
      <c r="M89" s="343"/>
      <c r="N89" s="340">
        <v>62436.95</v>
      </c>
      <c r="O89" s="342"/>
      <c r="P89" s="342"/>
    </row>
    <row r="90" spans="1:16" ht="15">
      <c r="A90" s="447" t="s">
        <v>1205</v>
      </c>
      <c r="B90" s="103">
        <v>2083443.14</v>
      </c>
      <c r="C90" s="103">
        <v>2438942.4900000002</v>
      </c>
      <c r="D90" s="331">
        <v>2972754.95</v>
      </c>
      <c r="E90" s="103">
        <v>2767602.81</v>
      </c>
      <c r="F90" s="318"/>
      <c r="G90" s="314">
        <v>2922013.78</v>
      </c>
      <c r="H90" s="103">
        <v>2894974.5</v>
      </c>
      <c r="I90" s="230">
        <v>2644384.25</v>
      </c>
      <c r="J90" s="230">
        <v>2582502.86</v>
      </c>
      <c r="K90" s="305">
        <v>2620693.34</v>
      </c>
      <c r="L90" s="357">
        <v>2671846.09</v>
      </c>
      <c r="M90" s="331">
        <f>SUM(M63:M89)</f>
        <v>1402726.97</v>
      </c>
      <c r="N90" s="331">
        <f>SUM(N63:N89)</f>
        <v>990104.78999999992</v>
      </c>
      <c r="O90" s="331"/>
      <c r="P90" s="331"/>
    </row>
    <row r="91" spans="1:16" ht="13">
      <c r="C91" s="103">
        <f>SUM(C63:C88)</f>
        <v>2438942.4900000002</v>
      </c>
      <c r="D91" s="331"/>
      <c r="E91" s="316"/>
      <c r="F91" s="318"/>
      <c r="G91" s="320"/>
      <c r="H91" s="316"/>
      <c r="I91" s="103"/>
      <c r="J91" s="103"/>
      <c r="K91" s="303"/>
      <c r="L91" s="357"/>
      <c r="M91" s="344">
        <f>1050000</f>
        <v>1050000</v>
      </c>
      <c r="N91" s="344">
        <v>630000</v>
      </c>
      <c r="O91" s="345"/>
      <c r="P91" s="345"/>
    </row>
    <row r="92" spans="1:16" ht="15">
      <c r="A92" s="447" t="s">
        <v>605</v>
      </c>
      <c r="D92" s="331"/>
      <c r="E92" s="316"/>
      <c r="F92" s="318"/>
      <c r="G92" s="320"/>
      <c r="H92" s="316"/>
      <c r="I92" s="103"/>
      <c r="J92" s="103"/>
      <c r="K92" s="303"/>
      <c r="L92" s="357"/>
      <c r="M92" s="303">
        <f>M90-M91</f>
        <v>352726.97</v>
      </c>
      <c r="N92" s="303">
        <f>N90-N91</f>
        <v>360104.78999999992</v>
      </c>
      <c r="O92" s="303"/>
      <c r="P92" s="303">
        <f>-(M92+N92)</f>
        <v>-712831.75999999989</v>
      </c>
    </row>
    <row r="93" spans="1:16" ht="13">
      <c r="A93" t="s">
        <v>929</v>
      </c>
      <c r="B93" s="316">
        <v>2480000.1800000002</v>
      </c>
      <c r="C93" s="316">
        <v>2520000.1740000001</v>
      </c>
      <c r="D93" s="316">
        <v>2573333.4900000002</v>
      </c>
      <c r="E93" s="316">
        <v>2586666.8199999998</v>
      </c>
      <c r="F93" s="230"/>
      <c r="G93" s="320">
        <v>2626666.81</v>
      </c>
      <c r="H93" s="316">
        <v>2640000.14</v>
      </c>
      <c r="I93" s="103">
        <v>2666666.7999999998</v>
      </c>
      <c r="J93" s="103">
        <v>2746666.78</v>
      </c>
      <c r="K93" s="303">
        <v>2773333.44</v>
      </c>
      <c r="L93" s="357"/>
      <c r="M93" s="239"/>
      <c r="N93" s="239"/>
      <c r="O93" s="239"/>
      <c r="P93" s="239"/>
    </row>
    <row r="94" spans="1:16" ht="15">
      <c r="A94" s="449" t="s">
        <v>1291</v>
      </c>
      <c r="B94" s="325">
        <v>386616.65</v>
      </c>
      <c r="C94" s="325">
        <v>468341.66</v>
      </c>
      <c r="D94" s="336">
        <v>159818.04</v>
      </c>
      <c r="E94" s="325">
        <v>159818.04</v>
      </c>
      <c r="F94" s="314"/>
      <c r="G94" s="318">
        <v>218376.36</v>
      </c>
      <c r="H94" s="325">
        <v>237895.8</v>
      </c>
      <c r="I94" s="103">
        <v>276934.68</v>
      </c>
      <c r="J94" s="103">
        <v>182101.32</v>
      </c>
      <c r="K94" s="303">
        <v>250990.2</v>
      </c>
      <c r="M94" s="241"/>
      <c r="N94" s="241"/>
      <c r="O94" s="241"/>
      <c r="P94" s="241"/>
    </row>
    <row r="95" spans="1:16" ht="15">
      <c r="A95" s="287" t="s">
        <v>1468</v>
      </c>
      <c r="C95" s="459" t="s">
        <v>1478</v>
      </c>
      <c r="D95" s="459" t="s">
        <v>1478</v>
      </c>
      <c r="E95" s="459" t="s">
        <v>1478</v>
      </c>
      <c r="F95" s="317"/>
      <c r="G95" s="318">
        <v>183.51</v>
      </c>
      <c r="H95" s="325">
        <v>596.75</v>
      </c>
      <c r="I95" s="103">
        <v>1419.09</v>
      </c>
      <c r="J95" s="103">
        <v>3853.29</v>
      </c>
      <c r="K95" s="303">
        <v>4653.87</v>
      </c>
      <c r="L95" s="357"/>
      <c r="M95" s="287"/>
      <c r="N95" s="287"/>
      <c r="O95" s="287"/>
      <c r="P95" s="287"/>
    </row>
    <row r="96" spans="1:16" thickBot="1">
      <c r="A96" s="454" t="s">
        <v>814</v>
      </c>
      <c r="B96" s="455">
        <v>58045.71</v>
      </c>
      <c r="C96" s="455">
        <v>66227.649999999994</v>
      </c>
      <c r="D96" s="343">
        <v>76416.78</v>
      </c>
      <c r="E96" s="455">
        <v>2232.5700000000002</v>
      </c>
      <c r="F96" s="451"/>
      <c r="G96" s="451">
        <v>8949.0400000000009</v>
      </c>
      <c r="H96" s="455">
        <v>10128.89</v>
      </c>
      <c r="I96" s="450">
        <v>12475.26</v>
      </c>
      <c r="J96" s="450">
        <v>19896.87</v>
      </c>
      <c r="K96" s="452">
        <v>22432.880000000001</v>
      </c>
      <c r="L96" s="453">
        <v>2813333.43</v>
      </c>
      <c r="M96" s="287"/>
      <c r="N96" s="287"/>
      <c r="O96" s="347">
        <v>2573333</v>
      </c>
      <c r="P96" s="347"/>
    </row>
    <row r="97" spans="1:16" ht="13">
      <c r="C97" s="316" t="s">
        <v>762</v>
      </c>
      <c r="D97" s="331"/>
      <c r="E97" s="316" t="s">
        <v>762</v>
      </c>
      <c r="F97" s="318"/>
      <c r="G97" s="320" t="s">
        <v>762</v>
      </c>
      <c r="H97" s="316" t="s">
        <v>762</v>
      </c>
      <c r="I97" s="103"/>
      <c r="J97" s="103"/>
      <c r="K97" s="303"/>
      <c r="L97" s="357">
        <v>354323.52</v>
      </c>
      <c r="M97" s="287"/>
      <c r="N97" s="287"/>
      <c r="O97" s="347">
        <v>159818</v>
      </c>
      <c r="P97" s="347"/>
    </row>
    <row r="98" spans="1:16" ht="15">
      <c r="A98" s="447" t="s">
        <v>815</v>
      </c>
      <c r="B98" s="316">
        <v>2924662.54</v>
      </c>
      <c r="C98" s="103">
        <v>3054569.48</v>
      </c>
      <c r="D98" s="331">
        <v>2809568.31</v>
      </c>
      <c r="E98" s="103">
        <v>2748717.43</v>
      </c>
      <c r="F98" s="318"/>
      <c r="G98" s="314">
        <v>2854175.72</v>
      </c>
      <c r="H98" s="103">
        <v>2888621.58</v>
      </c>
      <c r="I98" s="103">
        <v>2957495.83</v>
      </c>
      <c r="J98" s="103">
        <v>2952518.26</v>
      </c>
      <c r="K98" s="303">
        <v>3051410.39</v>
      </c>
      <c r="L98" s="357">
        <v>5844.69</v>
      </c>
      <c r="M98" s="287"/>
      <c r="N98" s="287"/>
      <c r="O98" s="287"/>
      <c r="P98" s="287"/>
    </row>
    <row r="99" spans="1:16" ht="13">
      <c r="D99" s="356"/>
      <c r="E99" s="103"/>
      <c r="F99" s="318"/>
      <c r="G99" s="314"/>
      <c r="H99" s="103"/>
      <c r="I99" s="103"/>
      <c r="J99" s="103"/>
      <c r="K99" s="303"/>
      <c r="L99" s="357">
        <v>27325.93</v>
      </c>
      <c r="M99" s="287"/>
      <c r="N99" s="287"/>
      <c r="O99" s="348">
        <v>76416.78</v>
      </c>
      <c r="P99" s="287"/>
    </row>
    <row r="100" spans="1:16" ht="15">
      <c r="A100" s="447" t="s">
        <v>643</v>
      </c>
      <c r="D100" s="331">
        <f>D98+D90</f>
        <v>5782323.2599999998</v>
      </c>
      <c r="E100" s="316">
        <v>5516320.2400000002</v>
      </c>
      <c r="F100" s="318"/>
      <c r="G100" s="322">
        <v>5776189.5</v>
      </c>
      <c r="H100" s="103"/>
      <c r="I100" s="230">
        <v>5601880.0800000001</v>
      </c>
      <c r="J100" s="230">
        <v>5535021.1200000001</v>
      </c>
      <c r="K100" s="305">
        <v>5672103.7300000004</v>
      </c>
      <c r="L100" s="357"/>
      <c r="M100" s="239"/>
      <c r="N100" s="239"/>
      <c r="O100" s="303">
        <f>SUM(O70:O99)</f>
        <v>3129967.78</v>
      </c>
      <c r="P100" s="303"/>
    </row>
    <row r="101" spans="1:16" s="187" customFormat="1" ht="15">
      <c r="A101" s="447" t="s">
        <v>1532</v>
      </c>
      <c r="B101" s="471"/>
      <c r="C101" s="103"/>
      <c r="D101" s="331"/>
      <c r="E101" s="103"/>
      <c r="F101" s="230"/>
      <c r="G101" s="318"/>
      <c r="H101" s="103"/>
      <c r="I101" s="103"/>
      <c r="J101" s="103"/>
      <c r="K101" s="303"/>
      <c r="L101" s="357">
        <v>3200827.57</v>
      </c>
      <c r="M101" s="239"/>
      <c r="N101" s="239"/>
      <c r="O101" s="239"/>
      <c r="P101" s="239"/>
    </row>
    <row r="102" spans="1:16" s="232" customFormat="1" ht="13">
      <c r="A102" s="232" t="s">
        <v>819</v>
      </c>
      <c r="B102" s="103">
        <v>12313.4</v>
      </c>
      <c r="C102" s="471">
        <v>12313.4</v>
      </c>
      <c r="D102" s="472">
        <v>12303.8</v>
      </c>
      <c r="E102" s="471">
        <v>12304</v>
      </c>
      <c r="F102" s="473"/>
      <c r="G102" s="474">
        <v>12304</v>
      </c>
      <c r="H102" s="471">
        <v>12294</v>
      </c>
      <c r="I102" s="232">
        <v>12294</v>
      </c>
      <c r="J102" s="232">
        <v>12294</v>
      </c>
      <c r="K102" s="475">
        <v>12294</v>
      </c>
      <c r="L102" s="476"/>
      <c r="M102" s="475"/>
      <c r="N102" s="475"/>
      <c r="O102" s="475"/>
      <c r="P102" s="475"/>
    </row>
    <row r="103" spans="1:16" ht="15">
      <c r="A103" s="449" t="s">
        <v>1487</v>
      </c>
      <c r="B103" s="103">
        <v>433960.11</v>
      </c>
      <c r="C103" s="103">
        <v>433960.11</v>
      </c>
      <c r="D103" s="331">
        <v>428754.03</v>
      </c>
      <c r="E103" s="103">
        <v>429197.23</v>
      </c>
      <c r="F103" s="314"/>
      <c r="G103" s="314">
        <v>429197.23</v>
      </c>
      <c r="H103" s="103">
        <v>423772.23</v>
      </c>
      <c r="I103" s="103">
        <v>423772.23</v>
      </c>
      <c r="J103" s="103">
        <v>423772.23</v>
      </c>
      <c r="K103" s="303">
        <v>423772.23</v>
      </c>
      <c r="L103" s="357">
        <v>5872673.6600000001</v>
      </c>
      <c r="M103" s="241"/>
      <c r="N103" s="241"/>
      <c r="O103" s="241"/>
      <c r="P103" s="241"/>
    </row>
    <row r="104" spans="1:16" ht="15">
      <c r="A104" t="s">
        <v>1488</v>
      </c>
      <c r="B104" s="459">
        <v>3923161.98</v>
      </c>
      <c r="C104" s="103">
        <v>3923161.98</v>
      </c>
      <c r="D104" s="331">
        <v>3923161.98</v>
      </c>
      <c r="E104" s="103">
        <v>3923161.98</v>
      </c>
      <c r="F104" s="317"/>
      <c r="G104" s="314">
        <v>2270780.1</v>
      </c>
      <c r="H104" s="103">
        <v>2270780.1</v>
      </c>
      <c r="I104" s="103">
        <v>2270780.1</v>
      </c>
      <c r="J104" s="103">
        <v>2270780.1</v>
      </c>
      <c r="K104" s="303">
        <v>1148879.31</v>
      </c>
      <c r="L104" s="357"/>
      <c r="M104" s="287"/>
      <c r="N104" s="287"/>
      <c r="O104" s="287"/>
      <c r="P104" s="287"/>
    </row>
    <row r="105" spans="1:16" ht="15">
      <c r="A105" t="s">
        <v>1068</v>
      </c>
      <c r="B105" s="459" t="s">
        <v>1478</v>
      </c>
      <c r="C105" s="459" t="s">
        <v>1478</v>
      </c>
      <c r="D105" s="459" t="s">
        <v>1478</v>
      </c>
      <c r="E105" s="459" t="s">
        <v>1478</v>
      </c>
      <c r="F105" s="459" t="s">
        <v>1478</v>
      </c>
      <c r="G105" s="459" t="s">
        <v>1478</v>
      </c>
      <c r="H105" s="103">
        <v>-1687.21</v>
      </c>
      <c r="I105" s="103">
        <v>-1687.21</v>
      </c>
      <c r="J105" s="103">
        <v>-1687.21</v>
      </c>
      <c r="K105" s="303">
        <v>-1687.21</v>
      </c>
      <c r="L105" s="357">
        <v>12284</v>
      </c>
      <c r="M105" s="287"/>
      <c r="N105" s="287"/>
      <c r="O105" s="287"/>
      <c r="P105" s="287"/>
    </row>
    <row r="106" spans="1:16" ht="13">
      <c r="A106" t="s">
        <v>1147</v>
      </c>
      <c r="B106" s="103">
        <v>-1073019.3400000001</v>
      </c>
      <c r="C106" s="103">
        <v>-896898.83</v>
      </c>
      <c r="D106" s="331">
        <v>-41814.769999999997</v>
      </c>
      <c r="E106" s="103">
        <v>-41814.769999999997</v>
      </c>
      <c r="F106" s="317"/>
      <c r="G106" s="314">
        <v>-208318.19</v>
      </c>
      <c r="H106" s="103">
        <v>-208318.19</v>
      </c>
      <c r="I106" s="103">
        <v>-166518.59</v>
      </c>
      <c r="J106" s="103"/>
      <c r="K106" s="303"/>
      <c r="L106" s="357">
        <v>421612.43</v>
      </c>
      <c r="M106" s="287"/>
      <c r="N106" s="287"/>
      <c r="O106" s="287"/>
      <c r="P106" s="287"/>
    </row>
    <row r="107" spans="1:16" ht="13">
      <c r="A107" t="s">
        <v>1489</v>
      </c>
      <c r="B107" s="103">
        <v>-71948.149999999994</v>
      </c>
      <c r="C107" s="103">
        <v>-68068.69</v>
      </c>
      <c r="D107" s="461">
        <v>-656185.23</v>
      </c>
      <c r="E107" s="103">
        <v>-606185.23</v>
      </c>
      <c r="F107" s="230"/>
      <c r="G107" s="314">
        <v>-425000</v>
      </c>
      <c r="H107" s="103">
        <v>-375000</v>
      </c>
      <c r="I107" s="103"/>
      <c r="J107" s="103"/>
      <c r="K107" s="303"/>
      <c r="L107" s="357">
        <v>1148879.31</v>
      </c>
      <c r="M107" s="287"/>
      <c r="N107" s="287"/>
      <c r="O107" s="287"/>
      <c r="P107" s="287"/>
    </row>
    <row r="108" spans="1:16" ht="13">
      <c r="A108" t="s">
        <v>1490</v>
      </c>
      <c r="B108" s="103">
        <v>2767496.93</v>
      </c>
      <c r="C108" s="103">
        <v>1859849.83</v>
      </c>
      <c r="D108" s="331">
        <v>594711.94999999995</v>
      </c>
      <c r="E108" s="103">
        <v>340504.94</v>
      </c>
      <c r="F108" s="230"/>
      <c r="G108" s="314"/>
      <c r="H108" s="103">
        <v>1886192.89</v>
      </c>
      <c r="I108" s="103">
        <v>1455933.67</v>
      </c>
      <c r="J108" s="103">
        <v>198120.94</v>
      </c>
      <c r="K108" s="303">
        <v>1121900.79</v>
      </c>
      <c r="L108" s="357">
        <v>-1687.21</v>
      </c>
      <c r="M108" s="287"/>
      <c r="N108" s="287"/>
      <c r="O108" s="287"/>
      <c r="P108" s="287"/>
    </row>
    <row r="109" spans="1:16" ht="13">
      <c r="B109" s="316"/>
      <c r="C109" s="316" t="s">
        <v>762</v>
      </c>
      <c r="D109" s="331"/>
      <c r="E109" s="316"/>
      <c r="F109" s="314"/>
      <c r="G109" s="314">
        <v>1834232.88</v>
      </c>
      <c r="H109" s="316"/>
      <c r="I109" s="103"/>
      <c r="J109" s="103"/>
      <c r="K109" s="303" t="s">
        <v>919</v>
      </c>
      <c r="L109" s="357"/>
      <c r="M109" s="287"/>
      <c r="N109" s="287"/>
      <c r="O109" s="287"/>
      <c r="P109" s="287"/>
    </row>
    <row r="110" spans="1:16" ht="13">
      <c r="D110" s="331"/>
      <c r="E110" s="103"/>
      <c r="F110" s="314"/>
      <c r="G110" s="326"/>
      <c r="H110" s="103"/>
      <c r="I110" s="230">
        <v>3994574.2</v>
      </c>
      <c r="J110" s="230">
        <v>2903280.06</v>
      </c>
      <c r="K110" s="305">
        <v>2705159.12</v>
      </c>
      <c r="L110" s="357"/>
    </row>
    <row r="111" spans="1:16" s="187" customFormat="1" ht="15">
      <c r="A111" s="447" t="s">
        <v>1476</v>
      </c>
      <c r="B111" s="103">
        <v>5991964.9299999997</v>
      </c>
      <c r="C111" s="103">
        <v>5264317.8</v>
      </c>
      <c r="D111" s="331">
        <v>4260931.76</v>
      </c>
      <c r="E111" s="103">
        <v>4057168.15</v>
      </c>
      <c r="F111" s="314"/>
      <c r="G111" s="314"/>
      <c r="H111" s="103">
        <v>4008033.82</v>
      </c>
      <c r="I111" s="103">
        <v>9596454.2799999993</v>
      </c>
      <c r="J111" s="103">
        <v>8438301.1799999997</v>
      </c>
      <c r="K111" s="303">
        <v>8377262.8499999996</v>
      </c>
      <c r="L111" s="357">
        <v>1084276.73</v>
      </c>
      <c r="M111" s="287"/>
      <c r="N111" s="287"/>
      <c r="O111" s="287"/>
      <c r="P111" s="287"/>
    </row>
    <row r="112" spans="1:16" thickBot="1">
      <c r="A112" s="447"/>
      <c r="D112" s="331"/>
      <c r="E112" s="103"/>
      <c r="F112" s="314"/>
      <c r="G112" s="318">
        <v>3913196.02</v>
      </c>
      <c r="H112" s="103"/>
      <c r="I112" s="309"/>
      <c r="J112" s="309"/>
      <c r="K112" s="310"/>
      <c r="L112" s="357"/>
      <c r="M112" s="239"/>
      <c r="N112" s="239"/>
      <c r="O112" s="239"/>
      <c r="P112" s="239"/>
    </row>
    <row r="113" spans="1:17" thickTop="1">
      <c r="A113" s="447" t="s">
        <v>1477</v>
      </c>
      <c r="B113" s="103">
        <f>B111+B98+B90</f>
        <v>11000070.609999999</v>
      </c>
      <c r="C113" s="103">
        <f>C111+C98+C90</f>
        <v>10757829.77</v>
      </c>
      <c r="D113" s="331">
        <f>D111+D100</f>
        <v>10043255.02</v>
      </c>
      <c r="E113" s="316">
        <v>9573488.3900000006</v>
      </c>
      <c r="F113" s="314"/>
      <c r="G113" s="314"/>
      <c r="H113" s="103"/>
      <c r="I113" s="153"/>
      <c r="J113" s="153"/>
      <c r="K113" s="103"/>
      <c r="L113" s="357">
        <v>2665365.2599999998</v>
      </c>
      <c r="M113" s="241"/>
      <c r="N113" s="241"/>
      <c r="O113" s="241"/>
      <c r="P113" s="241"/>
    </row>
    <row r="114" spans="1:17" ht="17">
      <c r="A114" s="287"/>
      <c r="B114" s="313"/>
      <c r="C114" s="313"/>
      <c r="E114" s="303"/>
      <c r="F114" s="314"/>
      <c r="G114" s="322">
        <v>9689385.5199999996</v>
      </c>
      <c r="H114" s="321"/>
      <c r="I114" s="153"/>
      <c r="J114" s="153" t="s">
        <v>1148</v>
      </c>
      <c r="K114" s="103"/>
      <c r="L114" s="357">
        <v>8538038.9199999999</v>
      </c>
      <c r="M114" s="239"/>
      <c r="N114" s="239"/>
      <c r="O114" s="239"/>
      <c r="P114" s="239"/>
    </row>
    <row r="115" spans="1:17" ht="13">
      <c r="A115" s="239"/>
      <c r="B115" s="303"/>
      <c r="C115" s="303"/>
      <c r="D115" s="331"/>
      <c r="E115" s="103"/>
      <c r="F115" s="314"/>
      <c r="G115" s="324"/>
      <c r="H115" s="300"/>
      <c r="I115" s="153"/>
      <c r="J115" s="153"/>
      <c r="K115" s="103"/>
      <c r="M115" s="239"/>
      <c r="N115" s="239"/>
      <c r="O115" s="239"/>
      <c r="P115" s="239"/>
    </row>
    <row r="116" spans="1:17" ht="13">
      <c r="B116" s="303"/>
      <c r="C116" s="303"/>
      <c r="D116" s="331"/>
      <c r="E116" s="103"/>
      <c r="F116" s="314"/>
      <c r="G116" s="324"/>
      <c r="H116" s="300"/>
      <c r="I116" s="153"/>
      <c r="J116" s="153"/>
      <c r="K116" s="103"/>
      <c r="M116" s="239"/>
      <c r="N116" s="239"/>
      <c r="O116" s="239"/>
      <c r="P116" s="239"/>
    </row>
    <row r="117" spans="1:17" ht="13">
      <c r="A117" s="239" t="s">
        <v>1486</v>
      </c>
      <c r="B117" s="303">
        <f t="shared" ref="B117:G117" si="0">B34+B45</f>
        <v>1455279.38</v>
      </c>
      <c r="C117" s="303">
        <f t="shared" si="0"/>
        <v>1437457.5</v>
      </c>
      <c r="D117" s="303">
        <f t="shared" si="0"/>
        <v>1409086.8399999999</v>
      </c>
      <c r="E117" s="303">
        <f t="shared" si="0"/>
        <v>1424934.4799999995</v>
      </c>
      <c r="F117" s="303">
        <f t="shared" si="0"/>
        <v>1476514</v>
      </c>
      <c r="G117" s="303">
        <f t="shared" si="0"/>
        <v>1463750.4499999997</v>
      </c>
      <c r="H117" s="300"/>
      <c r="I117" s="153"/>
      <c r="J117" s="153"/>
      <c r="K117" s="103"/>
      <c r="M117" s="239"/>
      <c r="N117" s="239"/>
      <c r="O117" s="239"/>
      <c r="P117" s="239"/>
    </row>
    <row r="118" spans="1:17" ht="13">
      <c r="A118" s="241" t="s">
        <v>94</v>
      </c>
      <c r="B118" s="479">
        <f>B127/B34</f>
        <v>0.29401953759648708</v>
      </c>
      <c r="C118" s="479">
        <f>C127/C34</f>
        <v>0.28972411101371354</v>
      </c>
      <c r="D118" s="479">
        <f>D127/D34</f>
        <v>0.25582056452600199</v>
      </c>
      <c r="E118" s="479">
        <f>E127/E34</f>
        <v>0.26439799458535379</v>
      </c>
      <c r="F118" s="479">
        <f>F127/F34</f>
        <v>0.2547205221234673</v>
      </c>
      <c r="G118" s="300"/>
      <c r="H118" s="301"/>
      <c r="I118" s="153"/>
      <c r="J118" s="153"/>
      <c r="K118" s="103"/>
    </row>
    <row r="119" spans="1:17">
      <c r="A119" s="241" t="s">
        <v>95</v>
      </c>
      <c r="B119" s="480">
        <f>B127/B117</f>
        <v>1.1536070963913472</v>
      </c>
      <c r="C119" s="480">
        <f>C127/C117</f>
        <v>1.137803768111405</v>
      </c>
      <c r="D119" s="480">
        <f>D127/D117</f>
        <v>1.0280590087691119</v>
      </c>
      <c r="E119" s="480">
        <f>E127/E117</f>
        <v>1.0522260925288303</v>
      </c>
      <c r="F119" s="480">
        <f>F127/F117</f>
        <v>0.97727341562626557</v>
      </c>
      <c r="H119" s="302"/>
      <c r="I119" s="153"/>
      <c r="J119" s="153"/>
      <c r="K119" s="103"/>
    </row>
    <row r="120" spans="1:17">
      <c r="A120" s="239"/>
      <c r="B120" s="303"/>
      <c r="C120" s="303"/>
      <c r="D120" s="331"/>
      <c r="F120" s="187"/>
      <c r="H120" s="300"/>
      <c r="I120" s="153"/>
      <c r="J120" s="153"/>
      <c r="K120" s="103"/>
    </row>
    <row r="121" spans="1:17" ht="13">
      <c r="B121" s="63">
        <v>35703</v>
      </c>
      <c r="C121" s="63">
        <v>35611</v>
      </c>
      <c r="D121" s="63">
        <v>35489</v>
      </c>
      <c r="E121" s="63">
        <v>35461</v>
      </c>
      <c r="F121" s="63">
        <v>35399</v>
      </c>
      <c r="G121" s="63">
        <v>35369</v>
      </c>
      <c r="H121" s="63">
        <v>35338</v>
      </c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ht="13">
      <c r="A122" t="s">
        <v>973</v>
      </c>
      <c r="B122" s="103">
        <v>617831</v>
      </c>
      <c r="C122" s="103">
        <v>473577</v>
      </c>
      <c r="D122" s="103">
        <v>455508</v>
      </c>
      <c r="E122" s="103">
        <v>356262</v>
      </c>
      <c r="F122" s="103">
        <v>378046</v>
      </c>
      <c r="G122" s="103">
        <v>356528</v>
      </c>
      <c r="H122" s="103">
        <v>416028</v>
      </c>
      <c r="I122" s="103"/>
      <c r="J122" s="103"/>
      <c r="K122" s="103"/>
      <c r="L122" s="103"/>
      <c r="M122" s="103"/>
      <c r="N122" s="103"/>
      <c r="O122" s="103"/>
      <c r="P122" s="103"/>
      <c r="Q122" s="103"/>
    </row>
    <row r="123" spans="1:17" ht="13">
      <c r="A123" s="239" t="s">
        <v>974</v>
      </c>
      <c r="B123" s="103">
        <v>281429</v>
      </c>
      <c r="C123" s="103">
        <v>152693</v>
      </c>
      <c r="D123" s="103">
        <v>135263</v>
      </c>
      <c r="E123" s="103">
        <v>83673</v>
      </c>
      <c r="F123" s="103">
        <v>138486</v>
      </c>
      <c r="G123" s="103">
        <v>118263</v>
      </c>
      <c r="H123" s="103">
        <v>127356</v>
      </c>
      <c r="I123" s="103"/>
      <c r="J123" s="103"/>
      <c r="K123" s="103"/>
      <c r="L123" s="103"/>
      <c r="M123" s="103"/>
      <c r="N123" s="103"/>
      <c r="O123" s="103"/>
      <c r="P123" s="103"/>
      <c r="Q123" s="103"/>
    </row>
    <row r="124" spans="1:17" ht="13">
      <c r="A124" s="239" t="s">
        <v>1173</v>
      </c>
      <c r="B124" s="217">
        <f>B123*0.86</f>
        <v>242028.94</v>
      </c>
      <c r="C124" s="217">
        <f t="shared" ref="C124:H124" si="1">C123*0.86</f>
        <v>131315.98000000001</v>
      </c>
      <c r="D124" s="217">
        <f t="shared" si="1"/>
        <v>116326.18</v>
      </c>
      <c r="E124" s="217">
        <f t="shared" si="1"/>
        <v>71958.78</v>
      </c>
      <c r="F124" s="217">
        <f t="shared" si="1"/>
        <v>119097.95999999999</v>
      </c>
      <c r="G124" s="217">
        <f t="shared" si="1"/>
        <v>101706.18</v>
      </c>
      <c r="H124" s="217">
        <f t="shared" si="1"/>
        <v>109526.16</v>
      </c>
      <c r="I124" s="103"/>
      <c r="J124" s="103"/>
      <c r="K124" s="103"/>
      <c r="L124" s="103"/>
      <c r="M124" s="103"/>
      <c r="N124" s="103"/>
      <c r="O124" s="103"/>
      <c r="P124" s="103"/>
      <c r="Q124" s="103"/>
    </row>
    <row r="125" spans="1:17" ht="13">
      <c r="A125" s="239"/>
      <c r="B125" s="217"/>
      <c r="C125" s="217"/>
      <c r="D125" s="217"/>
      <c r="E125" s="217"/>
      <c r="F125" s="217"/>
      <c r="G125" s="217"/>
      <c r="H125" s="217"/>
      <c r="I125" s="103"/>
      <c r="J125" s="103"/>
      <c r="K125" s="103"/>
      <c r="L125" s="103"/>
      <c r="M125" s="103"/>
      <c r="N125" s="103"/>
      <c r="O125" s="103"/>
      <c r="P125" s="103"/>
      <c r="Q125" s="103"/>
    </row>
    <row r="126" spans="1:17" ht="13">
      <c r="A126" s="239"/>
      <c r="B126" s="217">
        <f>D129</f>
        <v>1952117</v>
      </c>
      <c r="C126" s="217">
        <f>D132</f>
        <v>1901796</v>
      </c>
      <c r="D126" s="217">
        <f>D136</f>
        <v>1684447</v>
      </c>
      <c r="E126" s="217">
        <f>D137</f>
        <v>1743434</v>
      </c>
      <c r="F126" s="217">
        <f>D139</f>
        <v>1677858</v>
      </c>
      <c r="G126" s="217"/>
      <c r="H126" s="217"/>
      <c r="I126" s="103"/>
      <c r="J126" s="103"/>
      <c r="K126" s="103"/>
      <c r="L126" s="103"/>
      <c r="M126" s="103"/>
      <c r="N126" s="103"/>
      <c r="O126" s="103"/>
      <c r="P126" s="103"/>
      <c r="Q126" s="103"/>
    </row>
    <row r="127" spans="1:17" ht="13">
      <c r="A127" s="239" t="s">
        <v>1173</v>
      </c>
      <c r="B127" s="103">
        <f>B126*0.86</f>
        <v>1678820.6199999999</v>
      </c>
      <c r="C127" s="103">
        <f>C126*0.86</f>
        <v>1635544.56</v>
      </c>
      <c r="D127" s="103">
        <f>D126*0.86</f>
        <v>1448624.42</v>
      </c>
      <c r="E127" s="103">
        <f>E126*0.86</f>
        <v>1499353.24</v>
      </c>
      <c r="F127" s="103">
        <f>F126*0.86</f>
        <v>1442957.88</v>
      </c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</row>
    <row r="128" spans="1:17">
      <c r="K128" s="186"/>
    </row>
    <row r="129" spans="1:11">
      <c r="A129" s="63">
        <v>35703</v>
      </c>
      <c r="B129" s="103">
        <v>617831</v>
      </c>
      <c r="C129" s="103">
        <v>281429</v>
      </c>
      <c r="D129" s="336">
        <f t="shared" ref="D129:D138" si="2">SUM(C130:C140)</f>
        <v>1952117</v>
      </c>
      <c r="K129" s="186"/>
    </row>
    <row r="130" spans="1:11">
      <c r="A130" s="63">
        <v>35673</v>
      </c>
      <c r="B130" s="103">
        <v>494475</v>
      </c>
      <c r="C130" s="103">
        <v>214097</v>
      </c>
      <c r="D130" s="336">
        <f t="shared" si="2"/>
        <v>1865376</v>
      </c>
      <c r="K130" s="186"/>
    </row>
    <row r="131" spans="1:11">
      <c r="A131" s="63">
        <v>35642</v>
      </c>
      <c r="B131" s="103">
        <v>464511</v>
      </c>
      <c r="C131" s="103">
        <v>204157</v>
      </c>
      <c r="D131" s="336">
        <f t="shared" si="2"/>
        <v>1863129</v>
      </c>
      <c r="K131" s="186"/>
    </row>
    <row r="132" spans="1:11">
      <c r="A132" s="63">
        <v>35611</v>
      </c>
      <c r="B132" s="103">
        <v>473577</v>
      </c>
      <c r="C132" s="103">
        <v>152693</v>
      </c>
      <c r="D132" s="336">
        <f t="shared" si="2"/>
        <v>1901796</v>
      </c>
      <c r="K132" s="186"/>
    </row>
    <row r="133" spans="1:11">
      <c r="A133" s="63">
        <v>35581</v>
      </c>
      <c r="B133" s="103">
        <v>538565</v>
      </c>
      <c r="C133" s="103">
        <v>257097</v>
      </c>
      <c r="D133" s="336">
        <f t="shared" si="2"/>
        <v>1797189</v>
      </c>
      <c r="K133" s="186"/>
    </row>
    <row r="134" spans="1:11">
      <c r="A134" s="63">
        <v>35550</v>
      </c>
      <c r="B134" s="103">
        <v>590423</v>
      </c>
      <c r="C134" s="103">
        <v>307896</v>
      </c>
      <c r="D134" s="336">
        <f t="shared" si="2"/>
        <v>1677396</v>
      </c>
      <c r="K134" s="186"/>
    </row>
    <row r="135" spans="1:11">
      <c r="A135" s="63">
        <v>35520</v>
      </c>
      <c r="B135" s="103">
        <v>512100</v>
      </c>
      <c r="C135" s="103">
        <v>235619</v>
      </c>
      <c r="D135" s="336">
        <f t="shared" si="2"/>
        <v>1719920</v>
      </c>
      <c r="K135" s="186"/>
    </row>
    <row r="136" spans="1:11">
      <c r="A136" s="63">
        <v>35489</v>
      </c>
      <c r="B136" s="103">
        <v>455508</v>
      </c>
      <c r="C136" s="103">
        <v>135263</v>
      </c>
      <c r="D136" s="336">
        <f t="shared" si="2"/>
        <v>1684447</v>
      </c>
      <c r="K136" s="186"/>
    </row>
    <row r="137" spans="1:11">
      <c r="A137" s="63">
        <v>35461</v>
      </c>
      <c r="B137" s="103">
        <v>356262</v>
      </c>
      <c r="C137" s="103">
        <v>83673</v>
      </c>
      <c r="D137" s="336">
        <f t="shared" si="2"/>
        <v>1743434</v>
      </c>
      <c r="K137" s="186"/>
    </row>
    <row r="138" spans="1:11">
      <c r="A138" s="63">
        <v>35430</v>
      </c>
      <c r="B138" s="103">
        <v>341016</v>
      </c>
      <c r="C138" s="103">
        <v>104873</v>
      </c>
      <c r="D138" s="336">
        <f t="shared" si="2"/>
        <v>1711146</v>
      </c>
      <c r="K138" s="186"/>
    </row>
    <row r="139" spans="1:11">
      <c r="A139" s="63">
        <v>35399</v>
      </c>
      <c r="B139" s="103">
        <v>378046</v>
      </c>
      <c r="C139" s="103">
        <v>138486</v>
      </c>
      <c r="D139" s="336">
        <f>SUM(C140:C150)</f>
        <v>1677858</v>
      </c>
      <c r="K139" s="186"/>
    </row>
    <row r="140" spans="1:11">
      <c r="A140" s="63">
        <v>35369</v>
      </c>
      <c r="B140" s="103">
        <v>356528</v>
      </c>
      <c r="C140" s="103">
        <v>118263</v>
      </c>
      <c r="K140" s="186"/>
    </row>
    <row r="141" spans="1:11">
      <c r="A141" s="63">
        <v>35338</v>
      </c>
      <c r="B141" s="103">
        <v>416028</v>
      </c>
      <c r="C141" s="103">
        <v>127356</v>
      </c>
      <c r="K141" s="186"/>
    </row>
    <row r="142" spans="1:11">
      <c r="A142" s="63">
        <v>35308</v>
      </c>
      <c r="B142" s="103">
        <v>460747</v>
      </c>
      <c r="C142" s="103">
        <v>201910</v>
      </c>
      <c r="K142" s="186"/>
    </row>
    <row r="143" spans="1:11">
      <c r="A143" s="63">
        <v>35277</v>
      </c>
      <c r="B143" s="103">
        <v>470646</v>
      </c>
      <c r="C143" s="103">
        <v>191360</v>
      </c>
      <c r="K143" s="186"/>
    </row>
    <row r="144" spans="1:11">
      <c r="A144" s="63">
        <v>35246</v>
      </c>
      <c r="B144" s="103">
        <v>422939</v>
      </c>
      <c r="C144" s="103">
        <v>152490</v>
      </c>
      <c r="K144" s="186"/>
    </row>
    <row r="145" spans="1:11">
      <c r="A145" s="63">
        <v>35216</v>
      </c>
      <c r="B145" s="103">
        <v>530687</v>
      </c>
      <c r="C145" s="103">
        <v>188103</v>
      </c>
      <c r="K145" s="186"/>
    </row>
    <row r="146" spans="1:11">
      <c r="A146" s="63">
        <v>35185</v>
      </c>
      <c r="B146" s="103">
        <v>502815</v>
      </c>
      <c r="C146" s="103">
        <v>278143</v>
      </c>
      <c r="K146" s="186"/>
    </row>
    <row r="147" spans="1:11">
      <c r="A147" s="63">
        <v>35155</v>
      </c>
      <c r="B147" s="103">
        <v>343453</v>
      </c>
      <c r="C147" s="103">
        <v>99790</v>
      </c>
      <c r="K147" s="186"/>
    </row>
    <row r="148" spans="1:11">
      <c r="A148" s="63">
        <v>35124</v>
      </c>
      <c r="B148" s="103">
        <v>365452</v>
      </c>
      <c r="C148" s="103">
        <v>142660</v>
      </c>
      <c r="K148" s="186"/>
    </row>
    <row r="149" spans="1:11">
      <c r="A149" s="63">
        <v>35095</v>
      </c>
      <c r="B149" s="103">
        <v>298101</v>
      </c>
      <c r="C149" s="103">
        <v>72585</v>
      </c>
      <c r="K149" s="186"/>
    </row>
    <row r="150" spans="1:11">
      <c r="A150" s="63">
        <v>35064</v>
      </c>
      <c r="B150" s="103">
        <v>326269</v>
      </c>
      <c r="C150" s="103">
        <v>105198</v>
      </c>
      <c r="K150" s="186"/>
    </row>
    <row r="151" spans="1:11">
      <c r="K151" s="186"/>
    </row>
    <row r="152" spans="1:11">
      <c r="K152" s="186"/>
    </row>
    <row r="153" spans="1:11">
      <c r="K153" s="186"/>
    </row>
    <row r="154" spans="1:11">
      <c r="K154" s="186"/>
    </row>
    <row r="155" spans="1:11">
      <c r="K155" s="186"/>
    </row>
    <row r="156" spans="1:11">
      <c r="K156" s="186"/>
    </row>
    <row r="157" spans="1:11">
      <c r="K157" s="186"/>
    </row>
    <row r="158" spans="1:11">
      <c r="K158" s="186"/>
    </row>
    <row r="159" spans="1:11">
      <c r="K159" s="186"/>
    </row>
    <row r="160" spans="1:11">
      <c r="K160" s="186"/>
    </row>
    <row r="161" spans="11:11">
      <c r="K161" s="186"/>
    </row>
    <row r="162" spans="11:11">
      <c r="K162" s="186"/>
    </row>
    <row r="163" spans="11:11">
      <c r="K163" s="186"/>
    </row>
    <row r="164" spans="11:11">
      <c r="K164" s="186"/>
    </row>
    <row r="165" spans="11:11">
      <c r="K165" s="186"/>
    </row>
    <row r="166" spans="11:11">
      <c r="K166" s="186"/>
    </row>
    <row r="167" spans="11:11">
      <c r="K167" s="186"/>
    </row>
    <row r="168" spans="11:11">
      <c r="K168" s="186"/>
    </row>
    <row r="169" spans="11:11">
      <c r="K169" s="186"/>
    </row>
    <row r="170" spans="11:11">
      <c r="K170" s="186"/>
    </row>
    <row r="171" spans="11:11">
      <c r="K171" s="186"/>
    </row>
    <row r="172" spans="11:11">
      <c r="K172" s="186"/>
    </row>
    <row r="173" spans="11:11">
      <c r="K173" s="186"/>
    </row>
    <row r="174" spans="11:11">
      <c r="K174" s="186"/>
    </row>
    <row r="175" spans="11:11">
      <c r="K175" s="186"/>
    </row>
    <row r="176" spans="11:11">
      <c r="K176" s="186"/>
    </row>
    <row r="177" spans="11:11">
      <c r="K177" s="186"/>
    </row>
    <row r="178" spans="11:11">
      <c r="K178" s="186"/>
    </row>
    <row r="179" spans="11:11">
      <c r="K179" s="186"/>
    </row>
    <row r="180" spans="11:11">
      <c r="K180" s="186"/>
    </row>
    <row r="181" spans="11:11">
      <c r="K181" s="186"/>
    </row>
    <row r="182" spans="11:11">
      <c r="K182" s="186"/>
    </row>
    <row r="183" spans="11:11">
      <c r="K183" s="186"/>
    </row>
    <row r="184" spans="11:11">
      <c r="K184" s="186"/>
    </row>
    <row r="185" spans="11:11">
      <c r="K185" s="186"/>
    </row>
    <row r="186" spans="11:11">
      <c r="K186" s="186"/>
    </row>
    <row r="187" spans="11:11">
      <c r="K187" s="186"/>
    </row>
    <row r="188" spans="11:11">
      <c r="K188" s="186"/>
    </row>
    <row r="189" spans="11:11">
      <c r="K189" s="186"/>
    </row>
    <row r="190" spans="11:11">
      <c r="K190" s="186"/>
    </row>
    <row r="191" spans="11:11">
      <c r="K191" s="186"/>
    </row>
    <row r="192" spans="11:11">
      <c r="K192" s="186"/>
    </row>
    <row r="193" spans="11:11">
      <c r="K193" s="186"/>
    </row>
    <row r="194" spans="11:11">
      <c r="K194" s="186"/>
    </row>
    <row r="195" spans="11:11">
      <c r="K195" s="186"/>
    </row>
    <row r="196" spans="11:11">
      <c r="K196" s="186"/>
    </row>
    <row r="197" spans="11:11">
      <c r="K197" s="186"/>
    </row>
    <row r="198" spans="11:11">
      <c r="K198" s="186"/>
    </row>
    <row r="199" spans="11:11">
      <c r="K199" s="186"/>
    </row>
    <row r="200" spans="11:11">
      <c r="K200" s="186"/>
    </row>
    <row r="201" spans="11:11">
      <c r="K201" s="186"/>
    </row>
    <row r="202" spans="11:11">
      <c r="K202" s="186"/>
    </row>
    <row r="203" spans="11:11">
      <c r="K203" s="186"/>
    </row>
    <row r="204" spans="11:11">
      <c r="K204" s="186"/>
    </row>
    <row r="205" spans="11:11">
      <c r="K205" s="186"/>
    </row>
    <row r="206" spans="11:11">
      <c r="K206" s="186"/>
    </row>
    <row r="207" spans="11:11">
      <c r="K207" s="186"/>
    </row>
    <row r="208" spans="11:11">
      <c r="K208" s="186"/>
    </row>
    <row r="209" spans="11:11">
      <c r="K209" s="186"/>
    </row>
    <row r="210" spans="11:11">
      <c r="K210" s="186"/>
    </row>
    <row r="211" spans="11:11">
      <c r="K211" s="186"/>
    </row>
    <row r="212" spans="11:11">
      <c r="K212" s="186"/>
    </row>
    <row r="213" spans="11:11">
      <c r="K213" s="186"/>
    </row>
  </sheetData>
  <hyperlinks>
    <hyperlink ref="A150" location="'71 Data'!A27" display="'71 Data'!A27"/>
  </hyperlinks>
  <pageMargins left="0.75" right="0.75" top="1" bottom="1" header="0.5" footer="0.5"/>
  <pageSetup paperSize="0" scale="34" fitToHeight="2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L218"/>
  <sheetViews>
    <sheetView topLeftCell="A25" workbookViewId="0">
      <selection activeCell="AA207" sqref="AA207"/>
    </sheetView>
  </sheetViews>
  <sheetFormatPr baseColWidth="10" defaultRowHeight="13" x14ac:dyDescent="0"/>
  <cols>
    <col min="5" max="7" width="10.7109375" style="103"/>
    <col min="8" max="8" width="14.5703125" customWidth="1"/>
    <col min="12" max="12" width="11" bestFit="1" customWidth="1"/>
    <col min="13" max="16" width="10.85546875" bestFit="1" customWidth="1"/>
    <col min="18" max="18" width="11.7109375" bestFit="1" customWidth="1"/>
    <col min="20" max="20" width="11.85546875" bestFit="1" customWidth="1"/>
    <col min="21" max="21" width="13.5703125" customWidth="1"/>
    <col min="22" max="22" width="12.85546875" bestFit="1" customWidth="1"/>
    <col min="27" max="28" width="10.85546875" bestFit="1" customWidth="1"/>
  </cols>
  <sheetData>
    <row r="1" spans="2:19">
      <c r="E1"/>
      <c r="F1"/>
      <c r="G1"/>
      <c r="L1" t="s">
        <v>1057</v>
      </c>
      <c r="M1" t="s">
        <v>958</v>
      </c>
      <c r="O1" t="s">
        <v>962</v>
      </c>
      <c r="P1" s="103" t="s">
        <v>963</v>
      </c>
      <c r="Q1" s="103"/>
      <c r="R1" s="103"/>
      <c r="S1" s="103" t="s">
        <v>78</v>
      </c>
    </row>
    <row r="2" spans="2:19">
      <c r="E2"/>
      <c r="F2"/>
      <c r="G2"/>
      <c r="K2" s="63">
        <v>33969</v>
      </c>
      <c r="L2" s="153">
        <v>10531</v>
      </c>
      <c r="M2" s="153">
        <v>-19735</v>
      </c>
      <c r="N2" s="153"/>
    </row>
    <row r="3" spans="2:19">
      <c r="E3"/>
      <c r="F3"/>
      <c r="G3"/>
      <c r="K3" s="155" t="s">
        <v>496</v>
      </c>
      <c r="L3" s="153">
        <v>-80</v>
      </c>
      <c r="M3" s="153">
        <v>-26129</v>
      </c>
      <c r="N3" s="153"/>
    </row>
    <row r="4" spans="2:19">
      <c r="E4"/>
      <c r="F4"/>
      <c r="G4"/>
      <c r="K4" s="155" t="s">
        <v>497</v>
      </c>
      <c r="L4" s="153">
        <v>26303</v>
      </c>
      <c r="M4" s="153">
        <v>-7207</v>
      </c>
      <c r="N4" s="153"/>
    </row>
    <row r="5" spans="2:19">
      <c r="E5"/>
      <c r="F5"/>
      <c r="G5"/>
      <c r="K5" s="155" t="s">
        <v>820</v>
      </c>
      <c r="L5" s="153">
        <v>22269</v>
      </c>
      <c r="M5" s="153">
        <v>-17644</v>
      </c>
      <c r="N5" s="153"/>
    </row>
    <row r="6" spans="2:19">
      <c r="E6"/>
      <c r="F6"/>
      <c r="G6"/>
      <c r="K6" s="155" t="s">
        <v>953</v>
      </c>
      <c r="L6" s="153">
        <v>34096</v>
      </c>
      <c r="M6" s="153">
        <v>-15160</v>
      </c>
      <c r="N6" s="153"/>
    </row>
    <row r="7" spans="2:19">
      <c r="E7"/>
      <c r="F7"/>
      <c r="G7"/>
      <c r="K7" s="155" t="s">
        <v>970</v>
      </c>
      <c r="L7" s="153">
        <v>18581</v>
      </c>
      <c r="M7" s="153">
        <v>-16495</v>
      </c>
      <c r="N7" s="153"/>
    </row>
    <row r="8" spans="2:19">
      <c r="E8"/>
      <c r="F8"/>
      <c r="G8"/>
      <c r="K8" s="155" t="s">
        <v>972</v>
      </c>
      <c r="L8" s="153">
        <v>28172</v>
      </c>
      <c r="M8" s="153">
        <v>-21958</v>
      </c>
      <c r="N8" s="153"/>
    </row>
    <row r="9" spans="2:19">
      <c r="E9"/>
      <c r="F9"/>
      <c r="G9"/>
      <c r="K9" s="155" t="s">
        <v>740</v>
      </c>
      <c r="L9" s="153">
        <v>40202</v>
      </c>
      <c r="M9" s="153">
        <v>-10091</v>
      </c>
      <c r="N9" s="153"/>
    </row>
    <row r="10" spans="2:19">
      <c r="E10"/>
      <c r="F10"/>
      <c r="G10"/>
      <c r="K10" s="155" t="s">
        <v>668</v>
      </c>
      <c r="L10" s="153">
        <v>11200</v>
      </c>
      <c r="M10" s="153">
        <v>-33269</v>
      </c>
      <c r="N10" s="153"/>
    </row>
    <row r="11" spans="2:19">
      <c r="E11"/>
      <c r="F11"/>
      <c r="G11"/>
      <c r="K11" s="155" t="s">
        <v>1290</v>
      </c>
      <c r="L11" s="153">
        <v>13913</v>
      </c>
      <c r="M11" s="153">
        <v>-23583</v>
      </c>
      <c r="N11" s="153"/>
    </row>
    <row r="12" spans="2:19">
      <c r="E12"/>
      <c r="F12"/>
      <c r="G12"/>
      <c r="K12" s="155" t="s">
        <v>726</v>
      </c>
      <c r="L12" s="153">
        <v>23500</v>
      </c>
      <c r="M12" s="153">
        <v>-10045</v>
      </c>
      <c r="N12" s="153"/>
    </row>
    <row r="13" spans="2:19">
      <c r="E13"/>
      <c r="F13"/>
      <c r="G13"/>
      <c r="K13" s="155" t="s">
        <v>727</v>
      </c>
      <c r="L13" s="153">
        <v>44654</v>
      </c>
      <c r="M13" s="153">
        <v>-7540</v>
      </c>
      <c r="N13" s="153"/>
    </row>
    <row r="14" spans="2:19">
      <c r="E14"/>
      <c r="F14"/>
      <c r="G14"/>
      <c r="K14" s="156">
        <v>34334</v>
      </c>
      <c r="L14" s="103">
        <v>37891</v>
      </c>
      <c r="M14" s="103">
        <v>-15422</v>
      </c>
      <c r="N14" s="103"/>
      <c r="O14">
        <v>8000</v>
      </c>
      <c r="P14" s="103">
        <f t="shared" ref="P14:P19" si="0">M14+O14</f>
        <v>-7422</v>
      </c>
      <c r="Q14" s="103"/>
      <c r="R14" s="103"/>
      <c r="S14" s="103">
        <f t="shared" ref="S14:S19" si="1">0.35*L14</f>
        <v>13261.849999999999</v>
      </c>
    </row>
    <row r="15" spans="2:19">
      <c r="B15" s="103"/>
      <c r="C15" s="103"/>
      <c r="K15" s="125" t="s">
        <v>496</v>
      </c>
      <c r="L15" s="103">
        <v>31119</v>
      </c>
      <c r="M15" s="103">
        <v>-21717</v>
      </c>
      <c r="N15" s="103"/>
      <c r="O15">
        <v>8000</v>
      </c>
      <c r="P15" s="103">
        <f t="shared" si="0"/>
        <v>-13717</v>
      </c>
      <c r="Q15" s="103"/>
      <c r="R15" s="103"/>
      <c r="S15" s="103">
        <f t="shared" si="1"/>
        <v>10891.65</v>
      </c>
    </row>
    <row r="16" spans="2:19">
      <c r="B16" s="103"/>
      <c r="C16" s="103"/>
      <c r="K16" s="125" t="s">
        <v>497</v>
      </c>
      <c r="L16" s="103">
        <v>46745</v>
      </c>
      <c r="M16" s="103">
        <v>-15660</v>
      </c>
      <c r="N16" s="103"/>
      <c r="O16">
        <v>8000</v>
      </c>
      <c r="P16" s="103">
        <f t="shared" si="0"/>
        <v>-7660</v>
      </c>
      <c r="Q16" s="103"/>
      <c r="R16" s="103"/>
      <c r="S16" s="103">
        <f t="shared" si="1"/>
        <v>16360.749999999998</v>
      </c>
    </row>
    <row r="17" spans="2:19">
      <c r="B17" s="103"/>
      <c r="C17" s="103"/>
      <c r="K17" s="125" t="s">
        <v>820</v>
      </c>
      <c r="L17" s="103">
        <v>91751</v>
      </c>
      <c r="M17" s="103">
        <v>-7844</v>
      </c>
      <c r="N17" s="103"/>
      <c r="O17">
        <v>8000</v>
      </c>
      <c r="P17" s="103">
        <f t="shared" si="0"/>
        <v>156</v>
      </c>
      <c r="Q17" s="103"/>
      <c r="R17" s="103"/>
      <c r="S17" s="103">
        <f t="shared" si="1"/>
        <v>32112.85</v>
      </c>
    </row>
    <row r="18" spans="2:19">
      <c r="K18" s="125" t="s">
        <v>953</v>
      </c>
      <c r="L18" s="103">
        <v>29645</v>
      </c>
      <c r="M18" s="103">
        <v>-11295</v>
      </c>
      <c r="N18" s="103"/>
      <c r="O18">
        <v>8000</v>
      </c>
      <c r="P18" s="103">
        <f t="shared" si="0"/>
        <v>-3295</v>
      </c>
      <c r="Q18" s="103"/>
      <c r="R18" s="103"/>
      <c r="S18" s="103">
        <f t="shared" si="1"/>
        <v>10375.75</v>
      </c>
    </row>
    <row r="19" spans="2:19">
      <c r="K19" s="125" t="s">
        <v>970</v>
      </c>
      <c r="L19" s="103">
        <v>29798</v>
      </c>
      <c r="M19" s="103">
        <v>-19813</v>
      </c>
      <c r="N19" s="103"/>
      <c r="O19">
        <v>8000</v>
      </c>
      <c r="P19" s="103">
        <f t="shared" si="0"/>
        <v>-11813</v>
      </c>
      <c r="Q19" s="103"/>
      <c r="R19" s="103"/>
      <c r="S19" s="103">
        <f t="shared" si="1"/>
        <v>10429.299999999999</v>
      </c>
    </row>
    <row r="20" spans="2:19">
      <c r="K20" s="125" t="s">
        <v>972</v>
      </c>
      <c r="L20" s="103"/>
      <c r="M20" s="103"/>
      <c r="O20" s="103"/>
      <c r="P20" s="103"/>
      <c r="Q20" s="103"/>
    </row>
    <row r="21" spans="2:19">
      <c r="K21" s="125" t="s">
        <v>740</v>
      </c>
      <c r="L21" s="103"/>
      <c r="M21" s="103"/>
      <c r="O21" s="103"/>
      <c r="P21" s="103"/>
      <c r="Q21" s="103"/>
    </row>
    <row r="22" spans="2:19">
      <c r="K22" s="125" t="s">
        <v>668</v>
      </c>
      <c r="L22" s="103"/>
      <c r="M22" s="103"/>
      <c r="O22" s="103"/>
      <c r="P22" s="103"/>
      <c r="Q22" s="103"/>
    </row>
    <row r="23" spans="2:19">
      <c r="K23" s="125" t="s">
        <v>1290</v>
      </c>
      <c r="L23" s="103"/>
      <c r="O23" s="103"/>
      <c r="P23" s="103"/>
      <c r="Q23" s="103"/>
    </row>
    <row r="24" spans="2:19">
      <c r="K24" s="125" t="s">
        <v>726</v>
      </c>
      <c r="L24" s="103"/>
      <c r="M24" s="103"/>
      <c r="O24" s="103"/>
      <c r="P24" s="103"/>
      <c r="Q24" s="103"/>
    </row>
    <row r="25" spans="2:19" ht="14" thickBot="1">
      <c r="K25" s="126" t="s">
        <v>727</v>
      </c>
      <c r="L25" s="103"/>
      <c r="M25" s="103"/>
      <c r="O25" s="103"/>
      <c r="P25" s="103"/>
      <c r="Q25" s="103"/>
    </row>
    <row r="26" spans="2:19">
      <c r="K26" s="156">
        <v>34699</v>
      </c>
      <c r="L26">
        <v>84234</v>
      </c>
      <c r="M26">
        <v>47673</v>
      </c>
    </row>
    <row r="27" spans="2:19">
      <c r="K27" s="125" t="s">
        <v>496</v>
      </c>
      <c r="L27">
        <v>65026</v>
      </c>
      <c r="M27">
        <v>16410</v>
      </c>
    </row>
    <row r="28" spans="2:19">
      <c r="K28" s="125" t="s">
        <v>497</v>
      </c>
      <c r="L28">
        <v>83879</v>
      </c>
      <c r="M28">
        <v>20623</v>
      </c>
    </row>
    <row r="29" spans="2:19">
      <c r="K29" s="125" t="s">
        <v>820</v>
      </c>
      <c r="L29">
        <v>62723</v>
      </c>
      <c r="M29">
        <v>19196</v>
      </c>
    </row>
    <row r="30" spans="2:19">
      <c r="K30" s="125" t="s">
        <v>953</v>
      </c>
      <c r="L30">
        <v>191428</v>
      </c>
      <c r="M30">
        <v>101417</v>
      </c>
    </row>
    <row r="31" spans="2:19">
      <c r="K31" s="125" t="s">
        <v>970</v>
      </c>
      <c r="L31">
        <v>106641</v>
      </c>
      <c r="M31">
        <v>39818</v>
      </c>
    </row>
    <row r="32" spans="2:19">
      <c r="K32" s="125" t="s">
        <v>972</v>
      </c>
    </row>
    <row r="33" spans="1:24">
      <c r="K33" s="125" t="s">
        <v>740</v>
      </c>
    </row>
    <row r="34" spans="1:24">
      <c r="K34" s="125" t="s">
        <v>668</v>
      </c>
    </row>
    <row r="35" spans="1:24">
      <c r="K35" s="125" t="s">
        <v>1290</v>
      </c>
    </row>
    <row r="36" spans="1:24">
      <c r="K36" s="125" t="s">
        <v>726</v>
      </c>
    </row>
    <row r="37" spans="1:24" ht="14" thickBot="1">
      <c r="K37" s="126" t="s">
        <v>727</v>
      </c>
    </row>
    <row r="38" spans="1:24">
      <c r="C38" s="75"/>
    </row>
    <row r="45" spans="1:24" ht="9" customHeight="1"/>
    <row r="46" spans="1:24" s="129" customFormat="1">
      <c r="E46" s="130"/>
      <c r="F46" s="130"/>
      <c r="G46" s="130"/>
    </row>
    <row r="47" spans="1:24">
      <c r="E47"/>
      <c r="F47"/>
      <c r="G47"/>
      <c r="O47" s="103"/>
      <c r="P47" s="103"/>
      <c r="Q47" s="103"/>
      <c r="T47" s="134">
        <v>0.1</v>
      </c>
      <c r="U47" s="134">
        <v>0.2</v>
      </c>
      <c r="V47" s="134">
        <v>0.3</v>
      </c>
      <c r="W47" s="134">
        <v>0.4</v>
      </c>
      <c r="X47" s="134">
        <v>0.5</v>
      </c>
    </row>
    <row r="48" spans="1:24" s="131" customFormat="1" ht="26">
      <c r="A48"/>
      <c r="B48"/>
      <c r="C48"/>
      <c r="D48"/>
      <c r="E48"/>
      <c r="F48"/>
      <c r="G48"/>
      <c r="H48"/>
      <c r="I48"/>
      <c r="J48"/>
      <c r="K48" s="131" t="s">
        <v>639</v>
      </c>
      <c r="L48" s="132" t="s">
        <v>27</v>
      </c>
      <c r="M48" s="132" t="s">
        <v>556</v>
      </c>
      <c r="N48" s="132" t="s">
        <v>1258</v>
      </c>
      <c r="O48" s="133" t="s">
        <v>856</v>
      </c>
      <c r="P48" s="133"/>
      <c r="Q48" s="133"/>
      <c r="R48" s="133" t="s">
        <v>1048</v>
      </c>
      <c r="S48" s="132" t="s">
        <v>1377</v>
      </c>
      <c r="T48" s="132" t="s">
        <v>634</v>
      </c>
      <c r="U48" s="132" t="s">
        <v>634</v>
      </c>
      <c r="V48" s="132" t="s">
        <v>634</v>
      </c>
      <c r="W48" s="132" t="s">
        <v>634</v>
      </c>
      <c r="X48" s="132" t="s">
        <v>634</v>
      </c>
    </row>
    <row r="49" spans="5:24">
      <c r="E49"/>
      <c r="F49"/>
      <c r="G49"/>
      <c r="K49" s="154">
        <v>33969</v>
      </c>
      <c r="L49" s="153">
        <v>467715</v>
      </c>
      <c r="M49" s="153">
        <v>223293</v>
      </c>
      <c r="N49" s="151"/>
      <c r="O49" s="152"/>
      <c r="P49" s="152"/>
      <c r="Q49" s="152"/>
      <c r="R49" s="152"/>
      <c r="S49" s="151"/>
      <c r="T49" s="151"/>
      <c r="U49" s="151"/>
      <c r="V49" s="151"/>
      <c r="W49" s="151"/>
      <c r="X49" s="151"/>
    </row>
    <row r="50" spans="5:24">
      <c r="E50"/>
      <c r="F50"/>
      <c r="G50"/>
      <c r="K50" s="155" t="s">
        <v>496</v>
      </c>
      <c r="L50" s="153">
        <v>467113</v>
      </c>
      <c r="M50" s="153">
        <v>149390</v>
      </c>
      <c r="N50" s="151"/>
      <c r="O50" s="152"/>
      <c r="P50" s="152"/>
      <c r="Q50" s="152"/>
      <c r="R50" s="152"/>
      <c r="S50" s="151"/>
      <c r="T50" s="151"/>
      <c r="U50" s="151"/>
      <c r="V50" s="151"/>
      <c r="W50" s="151"/>
      <c r="X50" s="151"/>
    </row>
    <row r="51" spans="5:24">
      <c r="E51"/>
      <c r="F51"/>
      <c r="G51"/>
      <c r="K51" s="155" t="s">
        <v>497</v>
      </c>
      <c r="L51" s="153">
        <v>205630</v>
      </c>
      <c r="M51" s="153">
        <v>-63033</v>
      </c>
      <c r="N51" s="151"/>
      <c r="O51" s="152"/>
      <c r="P51" s="152"/>
      <c r="Q51" s="152"/>
      <c r="R51" s="152"/>
      <c r="S51" s="151"/>
      <c r="T51" s="151"/>
      <c r="U51" s="151"/>
      <c r="V51" s="151"/>
      <c r="W51" s="151"/>
      <c r="X51" s="151"/>
    </row>
    <row r="52" spans="5:24">
      <c r="E52"/>
      <c r="F52"/>
      <c r="G52"/>
      <c r="K52" s="155" t="s">
        <v>820</v>
      </c>
      <c r="L52" s="153">
        <v>150070</v>
      </c>
      <c r="M52" s="153">
        <v>-60085</v>
      </c>
      <c r="N52" s="151"/>
      <c r="O52" s="152"/>
      <c r="P52" s="152"/>
      <c r="Q52" s="152"/>
      <c r="R52" s="152"/>
      <c r="S52" s="151"/>
      <c r="T52" s="151"/>
      <c r="U52" s="151"/>
      <c r="V52" s="151"/>
      <c r="W52" s="151"/>
      <c r="X52" s="151"/>
    </row>
    <row r="53" spans="5:24">
      <c r="E53"/>
      <c r="F53"/>
      <c r="G53"/>
      <c r="K53" s="155" t="s">
        <v>953</v>
      </c>
      <c r="L53" s="153">
        <v>336396</v>
      </c>
      <c r="M53" s="153">
        <v>115167</v>
      </c>
      <c r="N53" s="151"/>
      <c r="O53" s="152"/>
      <c r="P53" s="152"/>
      <c r="Q53" s="152"/>
      <c r="R53" s="152"/>
      <c r="S53" s="151"/>
      <c r="T53" s="151"/>
      <c r="U53" s="151"/>
      <c r="V53" s="151"/>
      <c r="W53" s="151"/>
      <c r="X53" s="151"/>
    </row>
    <row r="54" spans="5:24">
      <c r="E54"/>
      <c r="F54"/>
      <c r="G54"/>
      <c r="K54" s="155" t="s">
        <v>970</v>
      </c>
      <c r="L54" s="153">
        <v>224476</v>
      </c>
      <c r="M54" s="153">
        <v>37012</v>
      </c>
      <c r="N54" s="151"/>
      <c r="O54" s="152"/>
      <c r="P54" s="152"/>
      <c r="Q54" s="152"/>
      <c r="R54" s="152"/>
      <c r="S54" s="151"/>
      <c r="T54" s="151"/>
      <c r="U54" s="151"/>
      <c r="V54" s="151"/>
      <c r="W54" s="151"/>
      <c r="X54" s="151"/>
    </row>
    <row r="55" spans="5:24">
      <c r="E55"/>
      <c r="F55"/>
      <c r="G55"/>
      <c r="K55" s="155" t="s">
        <v>972</v>
      </c>
      <c r="L55" s="153">
        <v>209379</v>
      </c>
      <c r="M55" s="153">
        <v>13019</v>
      </c>
      <c r="N55" s="151"/>
      <c r="O55" s="152"/>
      <c r="P55" s="152"/>
      <c r="Q55" s="152"/>
      <c r="R55" s="152"/>
      <c r="S55" s="151"/>
      <c r="T55" s="151"/>
      <c r="U55" s="151"/>
      <c r="V55" s="151"/>
      <c r="W55" s="151"/>
      <c r="X55" s="151"/>
    </row>
    <row r="56" spans="5:24">
      <c r="E56"/>
      <c r="F56"/>
      <c r="G56"/>
      <c r="K56" s="155" t="s">
        <v>740</v>
      </c>
      <c r="L56" s="153">
        <v>188537</v>
      </c>
      <c r="M56" s="153">
        <v>-22252</v>
      </c>
      <c r="N56" s="151"/>
      <c r="O56" s="152"/>
      <c r="P56" s="152"/>
      <c r="Q56" s="152"/>
      <c r="R56" s="152"/>
      <c r="S56" s="151"/>
      <c r="T56" s="151"/>
      <c r="U56" s="151"/>
      <c r="V56" s="151"/>
      <c r="W56" s="151"/>
      <c r="X56" s="151"/>
    </row>
    <row r="57" spans="5:24">
      <c r="E57"/>
      <c r="F57"/>
      <c r="G57"/>
      <c r="K57" s="155" t="s">
        <v>668</v>
      </c>
      <c r="L57" s="153">
        <v>388665</v>
      </c>
      <c r="M57" s="153">
        <v>180492</v>
      </c>
      <c r="N57" s="151"/>
      <c r="O57" s="152"/>
      <c r="P57" s="152"/>
      <c r="Q57" s="152"/>
      <c r="R57" s="152"/>
      <c r="S57" s="151"/>
      <c r="T57" s="151"/>
      <c r="U57" s="151"/>
      <c r="V57" s="151"/>
      <c r="W57" s="151"/>
      <c r="X57" s="151"/>
    </row>
    <row r="58" spans="5:24">
      <c r="E58"/>
      <c r="F58"/>
      <c r="G58"/>
      <c r="K58" s="155" t="s">
        <v>1290</v>
      </c>
      <c r="L58" s="153">
        <v>367256</v>
      </c>
      <c r="M58" s="153">
        <v>98033</v>
      </c>
      <c r="N58" s="151"/>
      <c r="O58" s="152"/>
      <c r="P58" s="152"/>
      <c r="Q58" s="152"/>
      <c r="R58" s="152"/>
      <c r="S58" s="151"/>
      <c r="T58" s="151"/>
      <c r="U58" s="151"/>
      <c r="V58" s="151"/>
      <c r="W58" s="151"/>
      <c r="X58" s="151"/>
    </row>
    <row r="59" spans="5:24">
      <c r="E59"/>
      <c r="F59"/>
      <c r="G59"/>
      <c r="K59" s="155" t="s">
        <v>726</v>
      </c>
      <c r="L59" s="153">
        <v>280387</v>
      </c>
      <c r="M59" s="153">
        <v>30273</v>
      </c>
      <c r="N59" s="151"/>
      <c r="O59" s="152"/>
      <c r="P59" s="152"/>
      <c r="Q59" s="152"/>
      <c r="R59" s="152"/>
      <c r="S59" s="151"/>
      <c r="T59" s="151"/>
      <c r="U59" s="151"/>
      <c r="V59" s="151"/>
      <c r="W59" s="151"/>
      <c r="X59" s="151"/>
    </row>
    <row r="60" spans="5:24">
      <c r="E60"/>
      <c r="F60"/>
      <c r="G60"/>
      <c r="K60" s="155" t="s">
        <v>727</v>
      </c>
      <c r="L60" s="153">
        <v>278571</v>
      </c>
      <c r="M60" s="153">
        <v>-10915</v>
      </c>
      <c r="N60" s="151"/>
      <c r="O60" s="152"/>
      <c r="P60" s="152"/>
      <c r="Q60" s="152"/>
      <c r="R60" s="152"/>
      <c r="S60" s="151"/>
      <c r="T60" s="151"/>
      <c r="U60" s="151"/>
      <c r="V60" s="151"/>
      <c r="W60" s="151"/>
      <c r="X60" s="151"/>
    </row>
    <row r="61" spans="5:24">
      <c r="E61"/>
      <c r="F61"/>
      <c r="G61"/>
      <c r="K61" s="63">
        <v>34334</v>
      </c>
      <c r="L61" s="103">
        <v>216952</v>
      </c>
      <c r="M61" s="103">
        <v>-6501</v>
      </c>
      <c r="N61">
        <v>8000</v>
      </c>
      <c r="O61" s="103">
        <f t="shared" ref="O61:O67" si="2">M61+N61</f>
        <v>1499</v>
      </c>
      <c r="P61" s="103"/>
      <c r="Q61" s="103"/>
      <c r="R61" s="103">
        <f t="shared" ref="R61:R67" si="3">0.41*L61</f>
        <v>88950.319999999992</v>
      </c>
      <c r="S61" s="103">
        <f t="shared" ref="S61:S67" si="4">L61*0.21</f>
        <v>45559.92</v>
      </c>
      <c r="T61" s="103">
        <f t="shared" ref="T61:X67" si="5">$M61+$L61*T$47</f>
        <v>15194.2</v>
      </c>
      <c r="U61" s="103">
        <f t="shared" si="5"/>
        <v>36889.4</v>
      </c>
      <c r="V61" s="103">
        <f t="shared" si="5"/>
        <v>58584.6</v>
      </c>
      <c r="W61" s="103">
        <f t="shared" si="5"/>
        <v>80279.8</v>
      </c>
      <c r="X61" s="103">
        <f t="shared" si="5"/>
        <v>101975</v>
      </c>
    </row>
    <row r="62" spans="5:24">
      <c r="E62"/>
      <c r="F62"/>
      <c r="G62"/>
      <c r="K62" s="63">
        <v>34365</v>
      </c>
      <c r="L62" s="103">
        <v>125183</v>
      </c>
      <c r="M62" s="103">
        <v>-48398</v>
      </c>
      <c r="N62">
        <v>8000</v>
      </c>
      <c r="O62" s="103">
        <f t="shared" si="2"/>
        <v>-40398</v>
      </c>
      <c r="P62" s="103"/>
      <c r="Q62" s="103"/>
      <c r="R62" s="103">
        <f t="shared" si="3"/>
        <v>51325.03</v>
      </c>
      <c r="S62" s="103">
        <f t="shared" si="4"/>
        <v>26288.43</v>
      </c>
      <c r="T62" s="103">
        <f t="shared" si="5"/>
        <v>-35879.699999999997</v>
      </c>
      <c r="U62" s="103">
        <f t="shared" si="5"/>
        <v>-23361.399999999998</v>
      </c>
      <c r="V62" s="103">
        <f t="shared" si="5"/>
        <v>-10843.099999999999</v>
      </c>
      <c r="W62" s="103">
        <f t="shared" si="5"/>
        <v>1675.2000000000044</v>
      </c>
      <c r="X62" s="103">
        <f t="shared" si="5"/>
        <v>14193.5</v>
      </c>
    </row>
    <row r="63" spans="5:24">
      <c r="E63"/>
      <c r="F63"/>
      <c r="G63"/>
      <c r="K63" s="63">
        <v>34393</v>
      </c>
      <c r="L63" s="103">
        <v>266531</v>
      </c>
      <c r="M63" s="103">
        <v>26849</v>
      </c>
      <c r="N63">
        <v>8000</v>
      </c>
      <c r="O63" s="103">
        <f t="shared" si="2"/>
        <v>34849</v>
      </c>
      <c r="P63" s="103"/>
      <c r="Q63" s="103"/>
      <c r="R63" s="103">
        <f t="shared" si="3"/>
        <v>109277.70999999999</v>
      </c>
      <c r="S63" s="103">
        <f t="shared" si="4"/>
        <v>55971.509999999995</v>
      </c>
      <c r="T63" s="103">
        <f t="shared" si="5"/>
        <v>53502.100000000006</v>
      </c>
      <c r="U63" s="103">
        <f t="shared" si="5"/>
        <v>80155.200000000012</v>
      </c>
      <c r="V63" s="103">
        <f t="shared" si="5"/>
        <v>106808.3</v>
      </c>
      <c r="W63" s="103">
        <f t="shared" si="5"/>
        <v>133461.40000000002</v>
      </c>
      <c r="X63" s="103">
        <f t="shared" si="5"/>
        <v>160114.5</v>
      </c>
    </row>
    <row r="64" spans="5:24">
      <c r="E64"/>
      <c r="F64"/>
      <c r="G64"/>
      <c r="K64" s="63">
        <v>34424</v>
      </c>
      <c r="L64" s="103">
        <v>131826</v>
      </c>
      <c r="M64" s="103">
        <v>-74919</v>
      </c>
      <c r="N64">
        <v>8000</v>
      </c>
      <c r="O64" s="103">
        <f t="shared" si="2"/>
        <v>-66919</v>
      </c>
      <c r="P64" s="103"/>
      <c r="Q64" s="103"/>
      <c r="R64" s="103">
        <f t="shared" si="3"/>
        <v>54048.659999999996</v>
      </c>
      <c r="S64" s="103">
        <f t="shared" si="4"/>
        <v>27683.46</v>
      </c>
      <c r="T64" s="103">
        <f t="shared" si="5"/>
        <v>-61736.4</v>
      </c>
      <c r="U64" s="103">
        <f t="shared" si="5"/>
        <v>-48553.8</v>
      </c>
      <c r="V64" s="103">
        <f t="shared" si="5"/>
        <v>-35371.200000000004</v>
      </c>
      <c r="W64" s="103">
        <f t="shared" si="5"/>
        <v>-22188.6</v>
      </c>
      <c r="X64" s="103">
        <f t="shared" si="5"/>
        <v>-9006</v>
      </c>
    </row>
    <row r="65" spans="5:24">
      <c r="E65"/>
      <c r="F65"/>
      <c r="G65"/>
      <c r="K65" s="63">
        <v>34454</v>
      </c>
      <c r="L65" s="103">
        <v>135269</v>
      </c>
      <c r="M65" s="103">
        <v>2188</v>
      </c>
      <c r="N65">
        <v>8000</v>
      </c>
      <c r="O65" s="103">
        <f t="shared" si="2"/>
        <v>10188</v>
      </c>
      <c r="P65" s="103"/>
      <c r="Q65" s="103"/>
      <c r="R65" s="103">
        <f t="shared" si="3"/>
        <v>55460.289999999994</v>
      </c>
      <c r="S65" s="103">
        <f t="shared" si="4"/>
        <v>28406.489999999998</v>
      </c>
      <c r="T65" s="103">
        <f t="shared" si="5"/>
        <v>15714.900000000001</v>
      </c>
      <c r="U65" s="103">
        <f t="shared" si="5"/>
        <v>29241.800000000003</v>
      </c>
      <c r="V65" s="103">
        <f t="shared" si="5"/>
        <v>42768.7</v>
      </c>
      <c r="W65" s="103">
        <f t="shared" si="5"/>
        <v>56295.600000000006</v>
      </c>
      <c r="X65" s="103">
        <f t="shared" si="5"/>
        <v>69822.5</v>
      </c>
    </row>
    <row r="66" spans="5:24">
      <c r="E66"/>
      <c r="F66"/>
      <c r="G66"/>
      <c r="K66" s="63">
        <v>34485</v>
      </c>
      <c r="L66" s="103">
        <v>243820</v>
      </c>
      <c r="M66" s="103">
        <v>52583</v>
      </c>
      <c r="N66">
        <v>8000</v>
      </c>
      <c r="O66" s="103">
        <f t="shared" si="2"/>
        <v>60583</v>
      </c>
      <c r="P66" s="103"/>
      <c r="Q66" s="103"/>
      <c r="R66" s="103">
        <f t="shared" si="3"/>
        <v>99966.2</v>
      </c>
      <c r="S66" s="103">
        <f t="shared" si="4"/>
        <v>51202.2</v>
      </c>
      <c r="T66" s="103">
        <f t="shared" si="5"/>
        <v>76965</v>
      </c>
      <c r="U66" s="103">
        <f t="shared" si="5"/>
        <v>101347</v>
      </c>
      <c r="V66" s="103">
        <f t="shared" si="5"/>
        <v>125729</v>
      </c>
      <c r="W66" s="103">
        <f t="shared" si="5"/>
        <v>150111</v>
      </c>
      <c r="X66" s="103">
        <f t="shared" si="5"/>
        <v>174493</v>
      </c>
    </row>
    <row r="67" spans="5:24">
      <c r="E67"/>
      <c r="F67"/>
      <c r="G67"/>
      <c r="K67" s="63">
        <v>34515</v>
      </c>
      <c r="L67" s="103">
        <v>154223</v>
      </c>
      <c r="M67" s="103">
        <v>-14322</v>
      </c>
      <c r="N67">
        <v>8000</v>
      </c>
      <c r="O67" s="103">
        <f t="shared" si="2"/>
        <v>-6322</v>
      </c>
      <c r="P67" s="103"/>
      <c r="Q67" s="103"/>
      <c r="R67" s="103">
        <f t="shared" si="3"/>
        <v>63231.429999999993</v>
      </c>
      <c r="S67" s="103">
        <f t="shared" si="4"/>
        <v>32386.829999999998</v>
      </c>
      <c r="T67" s="103">
        <f t="shared" si="5"/>
        <v>1100.3000000000011</v>
      </c>
      <c r="U67" s="103">
        <f t="shared" si="5"/>
        <v>16522.600000000002</v>
      </c>
      <c r="V67" s="103">
        <f t="shared" si="5"/>
        <v>31944.9</v>
      </c>
      <c r="W67" s="103">
        <f t="shared" si="5"/>
        <v>47367.200000000004</v>
      </c>
      <c r="X67" s="103">
        <f t="shared" si="5"/>
        <v>62789.5</v>
      </c>
    </row>
    <row r="68" spans="5:24">
      <c r="E68"/>
      <c r="F68"/>
      <c r="G68"/>
      <c r="K68" s="63">
        <v>34546</v>
      </c>
      <c r="L68" s="103"/>
      <c r="M68" s="103"/>
      <c r="O68" s="103"/>
      <c r="P68" s="103"/>
      <c r="Q68" s="103"/>
      <c r="R68" s="103"/>
    </row>
    <row r="69" spans="5:24">
      <c r="E69"/>
      <c r="F69"/>
      <c r="G69"/>
      <c r="K69" s="63">
        <v>34577</v>
      </c>
      <c r="L69" s="103"/>
      <c r="M69" s="103"/>
      <c r="O69" s="103"/>
      <c r="P69" s="103"/>
      <c r="Q69" s="103"/>
      <c r="R69" s="103"/>
    </row>
    <row r="70" spans="5:24">
      <c r="E70"/>
      <c r="F70"/>
      <c r="G70"/>
      <c r="K70" s="63">
        <v>34607</v>
      </c>
      <c r="L70" s="103"/>
      <c r="M70" s="103"/>
      <c r="O70" s="103"/>
      <c r="P70" s="103"/>
      <c r="Q70" s="103"/>
      <c r="R70" s="103"/>
    </row>
    <row r="71" spans="5:24">
      <c r="E71"/>
      <c r="F71"/>
      <c r="G71"/>
      <c r="K71" s="63">
        <v>34638</v>
      </c>
      <c r="L71" s="103"/>
      <c r="M71" s="103"/>
      <c r="O71" s="103"/>
      <c r="P71" s="103"/>
      <c r="Q71" s="103"/>
      <c r="R71" s="103"/>
    </row>
    <row r="72" spans="5:24">
      <c r="E72"/>
      <c r="F72"/>
      <c r="G72"/>
      <c r="K72" s="63">
        <v>34668</v>
      </c>
      <c r="L72" s="103"/>
      <c r="M72" s="103"/>
      <c r="O72" s="103"/>
      <c r="P72" s="103"/>
      <c r="Q72" s="103"/>
      <c r="R72" s="103"/>
    </row>
    <row r="73" spans="5:24">
      <c r="E73"/>
      <c r="F73"/>
      <c r="G73"/>
      <c r="K73" s="63">
        <v>34699</v>
      </c>
      <c r="L73" s="103"/>
      <c r="M73" s="103"/>
      <c r="O73" s="103"/>
      <c r="P73" s="103"/>
      <c r="Q73" s="103"/>
      <c r="R73" s="103"/>
    </row>
    <row r="74" spans="5:24">
      <c r="E74"/>
      <c r="F74"/>
      <c r="G74"/>
      <c r="K74" s="63">
        <v>34730</v>
      </c>
      <c r="L74" s="103"/>
      <c r="M74" s="103"/>
      <c r="O74" s="103"/>
      <c r="P74" s="103"/>
      <c r="Q74" s="103"/>
      <c r="R74" s="103"/>
      <c r="S74" t="s">
        <v>1396</v>
      </c>
    </row>
    <row r="75" spans="5:24">
      <c r="E75"/>
      <c r="F75"/>
      <c r="G75"/>
      <c r="K75" s="63">
        <v>34758</v>
      </c>
      <c r="L75" s="103"/>
      <c r="M75" s="103"/>
      <c r="O75" s="103"/>
      <c r="P75" s="103"/>
      <c r="Q75" s="103"/>
      <c r="R75" s="103"/>
    </row>
    <row r="76" spans="5:24">
      <c r="E76"/>
      <c r="F76"/>
      <c r="G76"/>
      <c r="K76" s="63">
        <v>34789</v>
      </c>
      <c r="L76" s="103"/>
      <c r="M76" s="103"/>
      <c r="O76" s="103"/>
      <c r="P76" s="103"/>
      <c r="Q76" s="103"/>
      <c r="R76" s="103"/>
    </row>
    <row r="77" spans="5:24">
      <c r="E77"/>
      <c r="F77"/>
      <c r="G77"/>
      <c r="K77" s="63">
        <v>34819</v>
      </c>
      <c r="L77" s="103"/>
      <c r="M77" s="103"/>
      <c r="O77" s="103"/>
      <c r="P77" s="103"/>
      <c r="Q77" s="103"/>
      <c r="R77" s="103"/>
    </row>
    <row r="78" spans="5:24">
      <c r="E78"/>
      <c r="F78"/>
      <c r="G78"/>
      <c r="K78" s="63">
        <v>34880</v>
      </c>
      <c r="L78" s="103"/>
      <c r="M78" s="103"/>
      <c r="O78" s="103"/>
      <c r="P78" s="103"/>
      <c r="Q78" s="103"/>
      <c r="R78" s="103"/>
    </row>
    <row r="79" spans="5:24">
      <c r="E79"/>
      <c r="F79"/>
      <c r="G79"/>
      <c r="K79" s="63">
        <v>34850</v>
      </c>
      <c r="L79">
        <v>181678</v>
      </c>
      <c r="O79" s="103"/>
      <c r="P79" s="103"/>
      <c r="Q79" s="103"/>
    </row>
    <row r="80" spans="5:24">
      <c r="E80"/>
      <c r="F80"/>
      <c r="G80"/>
      <c r="K80" t="s">
        <v>1017</v>
      </c>
      <c r="L80" s="103">
        <f>AVERAGE(L61:L77)</f>
        <v>181972</v>
      </c>
      <c r="M80" s="103">
        <f>AVERAGE(M61:M77)</f>
        <v>-8931.4285714285706</v>
      </c>
      <c r="N80">
        <f>AVERAGE(N61:N77)</f>
        <v>8000</v>
      </c>
      <c r="O80" s="103">
        <f>AVERAGE(O61:O77)</f>
        <v>-931.42857142857144</v>
      </c>
      <c r="P80" s="103"/>
      <c r="Q80" s="103"/>
      <c r="R80" s="103">
        <f>AVERAGE(R61:R77)</f>
        <v>74608.51999999999</v>
      </c>
      <c r="S80" s="117">
        <f>(-43893-164833)/3297034</f>
        <v>-6.3307202776798785E-2</v>
      </c>
      <c r="T80" s="103">
        <f>AVERAGE(T61:T77)</f>
        <v>9265.7714285714301</v>
      </c>
      <c r="U80" s="103">
        <f>AVERAGE(U61:U77)</f>
        <v>27462.971428571433</v>
      </c>
      <c r="V80" s="103">
        <f>AVERAGE(V61:V77)</f>
        <v>45660.171428571433</v>
      </c>
      <c r="W80" s="103">
        <f>AVERAGE(W61:W77)</f>
        <v>63857.37142857143</v>
      </c>
      <c r="X80" s="103">
        <f>AVERAGE(X61:X77)</f>
        <v>82054.571428571435</v>
      </c>
    </row>
    <row r="81" spans="1:27">
      <c r="E81"/>
      <c r="F81"/>
      <c r="G81"/>
      <c r="O81" s="103"/>
      <c r="P81" s="103"/>
      <c r="Q81" s="103"/>
    </row>
    <row r="82" spans="1:27">
      <c r="E82"/>
      <c r="F82"/>
      <c r="G82"/>
      <c r="K82" t="s">
        <v>1560</v>
      </c>
      <c r="O82" s="103"/>
      <c r="P82" s="103"/>
      <c r="Q82" s="103"/>
      <c r="T82" s="117">
        <f>T80/$L$80</f>
        <v>5.0918665665989439E-2</v>
      </c>
      <c r="U82" s="117">
        <f>U80/$L$80</f>
        <v>0.15091866566598947</v>
      </c>
      <c r="V82" s="117">
        <f>V80/$L$80</f>
        <v>0.25091866566598947</v>
      </c>
      <c r="W82" s="117">
        <f>W80/$L$80</f>
        <v>0.35091866566598945</v>
      </c>
      <c r="X82" s="117">
        <f>X80/$L$80</f>
        <v>0.45091866566598948</v>
      </c>
    </row>
    <row r="83" spans="1:27">
      <c r="E83"/>
      <c r="F83"/>
      <c r="G83"/>
      <c r="O83" s="103"/>
      <c r="P83" s="103"/>
      <c r="Q83" s="103"/>
    </row>
    <row r="84" spans="1:27">
      <c r="E84"/>
      <c r="F84"/>
      <c r="G84"/>
      <c r="O84" s="103"/>
      <c r="P84" s="103"/>
      <c r="Q84" s="103"/>
      <c r="X84" s="103">
        <f>X172*X169/12</f>
        <v>0</v>
      </c>
    </row>
    <row r="88" spans="1:27">
      <c r="A88" s="135"/>
      <c r="B88" s="135"/>
      <c r="C88" s="135"/>
      <c r="D88" s="135"/>
      <c r="E88" s="136"/>
      <c r="F88" s="136"/>
      <c r="G88" s="136"/>
      <c r="H88" s="135"/>
      <c r="I88" s="135"/>
      <c r="J88" s="135"/>
      <c r="K88" s="135"/>
      <c r="L88" s="135"/>
      <c r="M88" s="135"/>
      <c r="N88" s="135"/>
    </row>
    <row r="90" spans="1:27">
      <c r="E90"/>
      <c r="F90"/>
      <c r="G90"/>
      <c r="O90" s="103"/>
      <c r="P90" s="103"/>
      <c r="Q90" s="103"/>
      <c r="T90" s="134">
        <v>0.1</v>
      </c>
      <c r="U90" s="134">
        <v>0.2</v>
      </c>
      <c r="V90" s="134">
        <v>0.3</v>
      </c>
      <c r="W90" s="134">
        <v>0.4</v>
      </c>
      <c r="X90" s="134">
        <v>0.5</v>
      </c>
    </row>
    <row r="91" spans="1:27" ht="26">
      <c r="E91"/>
      <c r="F91"/>
      <c r="G91"/>
      <c r="K91" s="131" t="s">
        <v>639</v>
      </c>
      <c r="L91" s="132" t="s">
        <v>1561</v>
      </c>
      <c r="M91" s="132" t="s">
        <v>1033</v>
      </c>
      <c r="N91" s="132" t="s">
        <v>556</v>
      </c>
      <c r="O91" s="132" t="s">
        <v>471</v>
      </c>
      <c r="P91" s="132" t="s">
        <v>1582</v>
      </c>
      <c r="Q91" s="132" t="s">
        <v>1069</v>
      </c>
      <c r="R91" s="132"/>
      <c r="S91" s="133" t="s">
        <v>1303</v>
      </c>
      <c r="T91" s="133"/>
      <c r="U91" s="133" t="s">
        <v>431</v>
      </c>
      <c r="V91" s="132" t="s">
        <v>1377</v>
      </c>
      <c r="W91" s="132" t="s">
        <v>634</v>
      </c>
      <c r="X91" s="132" t="s">
        <v>634</v>
      </c>
      <c r="Y91" s="132" t="s">
        <v>634</v>
      </c>
      <c r="Z91" s="132" t="s">
        <v>634</v>
      </c>
      <c r="AA91" s="132" t="s">
        <v>634</v>
      </c>
    </row>
    <row r="92" spans="1:27">
      <c r="E92"/>
      <c r="F92"/>
      <c r="G92"/>
      <c r="K92" s="63">
        <v>34334</v>
      </c>
      <c r="L92" s="103">
        <v>55397</v>
      </c>
      <c r="M92" s="103"/>
      <c r="N92" s="103">
        <v>-29134</v>
      </c>
      <c r="S92" s="103"/>
      <c r="T92" s="103"/>
      <c r="U92" s="217">
        <f>0.25*L92</f>
        <v>13849.25</v>
      </c>
      <c r="V92" s="103">
        <f t="shared" ref="V92:V100" si="6">L92*0.21</f>
        <v>11633.369999999999</v>
      </c>
      <c r="W92" s="103">
        <f t="shared" ref="W92:W100" si="7">$N92+$L92*T$90</f>
        <v>-23594.3</v>
      </c>
      <c r="X92" s="103">
        <f t="shared" ref="X92:X100" si="8">$N92+$L92*U$90</f>
        <v>-18054.599999999999</v>
      </c>
      <c r="Y92" s="103">
        <f t="shared" ref="Y92:Y100" si="9">$N92+$L92*V$90</f>
        <v>-12514.900000000001</v>
      </c>
      <c r="Z92" s="103">
        <f t="shared" ref="Z92:Z100" si="10">$N92+$L92*W$90</f>
        <v>-6975.1999999999971</v>
      </c>
      <c r="AA92" s="103">
        <f t="shared" ref="AA92:AA100" si="11">$N92+$L92*X$90</f>
        <v>-1435.5</v>
      </c>
    </row>
    <row r="93" spans="1:27">
      <c r="E93"/>
      <c r="F93"/>
      <c r="G93"/>
      <c r="K93" s="63">
        <v>34365</v>
      </c>
      <c r="L93">
        <v>132312</v>
      </c>
      <c r="N93" s="103">
        <v>13323</v>
      </c>
      <c r="S93" s="103"/>
      <c r="T93" s="103"/>
      <c r="U93" s="217">
        <f t="shared" ref="U93:U100" si="12">0.25*L93</f>
        <v>33078</v>
      </c>
      <c r="V93" s="103">
        <f t="shared" si="6"/>
        <v>27785.52</v>
      </c>
      <c r="W93" s="103">
        <f t="shared" si="7"/>
        <v>26554.2</v>
      </c>
      <c r="X93" s="103">
        <f t="shared" si="8"/>
        <v>39785.4</v>
      </c>
      <c r="Y93" s="103">
        <f t="shared" si="9"/>
        <v>53016.6</v>
      </c>
      <c r="Z93" s="103">
        <f t="shared" si="10"/>
        <v>66247.8</v>
      </c>
      <c r="AA93" s="103">
        <f t="shared" si="11"/>
        <v>79479</v>
      </c>
    </row>
    <row r="94" spans="1:27">
      <c r="E94"/>
      <c r="F94"/>
      <c r="G94"/>
      <c r="K94" s="63">
        <v>34393</v>
      </c>
      <c r="L94">
        <v>116703</v>
      </c>
      <c r="M94">
        <f>L94+L93+L92</f>
        <v>304412</v>
      </c>
      <c r="N94" s="103">
        <v>-23070</v>
      </c>
      <c r="Q94">
        <f>N92+N93+N94</f>
        <v>-38881</v>
      </c>
      <c r="S94" s="103"/>
      <c r="T94" s="103"/>
      <c r="U94" s="217">
        <f t="shared" si="12"/>
        <v>29175.75</v>
      </c>
      <c r="V94" s="103">
        <f t="shared" si="6"/>
        <v>24507.629999999997</v>
      </c>
      <c r="W94" s="103">
        <f t="shared" si="7"/>
        <v>-11399.699999999999</v>
      </c>
      <c r="X94" s="103">
        <f t="shared" si="8"/>
        <v>270.60000000000218</v>
      </c>
      <c r="Y94" s="103">
        <f t="shared" si="9"/>
        <v>11940.900000000001</v>
      </c>
      <c r="Z94" s="103">
        <f t="shared" si="10"/>
        <v>23611.200000000004</v>
      </c>
      <c r="AA94" s="103">
        <f t="shared" si="11"/>
        <v>35281.5</v>
      </c>
    </row>
    <row r="95" spans="1:27">
      <c r="E95"/>
      <c r="F95"/>
      <c r="G95"/>
      <c r="K95" s="63">
        <v>34424</v>
      </c>
      <c r="L95">
        <v>95693</v>
      </c>
      <c r="N95" s="103">
        <v>1388</v>
      </c>
      <c r="S95" s="103"/>
      <c r="T95" s="103"/>
      <c r="U95" s="217">
        <f t="shared" si="12"/>
        <v>23923.25</v>
      </c>
      <c r="V95" s="103">
        <f t="shared" si="6"/>
        <v>20095.53</v>
      </c>
      <c r="W95" s="103">
        <f t="shared" si="7"/>
        <v>10957.300000000001</v>
      </c>
      <c r="X95" s="103">
        <f t="shared" si="8"/>
        <v>20526.600000000002</v>
      </c>
      <c r="Y95" s="103">
        <f t="shared" si="9"/>
        <v>30095.899999999998</v>
      </c>
      <c r="Z95" s="103">
        <f t="shared" si="10"/>
        <v>39665.200000000004</v>
      </c>
      <c r="AA95" s="103">
        <f t="shared" si="11"/>
        <v>49234.5</v>
      </c>
    </row>
    <row r="96" spans="1:27">
      <c r="E96"/>
      <c r="F96"/>
      <c r="G96"/>
      <c r="K96" s="63">
        <v>34454</v>
      </c>
      <c r="L96">
        <v>83345</v>
      </c>
      <c r="N96" s="103">
        <v>-49230</v>
      </c>
      <c r="S96" s="103"/>
      <c r="T96" s="103"/>
      <c r="U96" s="217">
        <f t="shared" si="12"/>
        <v>20836.25</v>
      </c>
      <c r="V96" s="103">
        <f t="shared" si="6"/>
        <v>17502.45</v>
      </c>
      <c r="W96" s="103">
        <f t="shared" si="7"/>
        <v>-40895.5</v>
      </c>
      <c r="X96" s="103">
        <f t="shared" si="8"/>
        <v>-32561</v>
      </c>
      <c r="Y96" s="103">
        <f t="shared" si="9"/>
        <v>-24226.5</v>
      </c>
      <c r="Z96" s="103">
        <f t="shared" si="10"/>
        <v>-15892</v>
      </c>
      <c r="AA96" s="103">
        <f t="shared" si="11"/>
        <v>-7557.5</v>
      </c>
    </row>
    <row r="97" spans="5:27">
      <c r="E97"/>
      <c r="F97"/>
      <c r="G97"/>
      <c r="K97" s="63">
        <v>34485</v>
      </c>
      <c r="L97">
        <v>72726</v>
      </c>
      <c r="M97">
        <f>L97+L96+L95</f>
        <v>251764</v>
      </c>
      <c r="N97" s="103">
        <v>-17968</v>
      </c>
      <c r="Q97">
        <f>N95+N96+N97</f>
        <v>-65810</v>
      </c>
      <c r="S97" s="103"/>
      <c r="T97" s="103"/>
      <c r="U97" s="217">
        <f t="shared" si="12"/>
        <v>18181.5</v>
      </c>
      <c r="V97" s="103">
        <f t="shared" si="6"/>
        <v>15272.46</v>
      </c>
      <c r="W97" s="103">
        <f t="shared" si="7"/>
        <v>-10695.4</v>
      </c>
      <c r="X97" s="103">
        <f t="shared" si="8"/>
        <v>-3422.7999999999993</v>
      </c>
      <c r="Y97" s="103">
        <f t="shared" si="9"/>
        <v>3849.7999999999993</v>
      </c>
      <c r="Z97" s="103">
        <f t="shared" si="10"/>
        <v>11122.400000000001</v>
      </c>
      <c r="AA97" s="103">
        <f t="shared" si="11"/>
        <v>18395</v>
      </c>
    </row>
    <row r="98" spans="5:27">
      <c r="E98"/>
      <c r="F98"/>
      <c r="G98"/>
      <c r="K98" s="63">
        <v>34515</v>
      </c>
      <c r="L98">
        <v>195267</v>
      </c>
      <c r="N98" s="103">
        <v>78181</v>
      </c>
      <c r="S98" s="103"/>
      <c r="T98" s="103"/>
      <c r="U98" s="217">
        <f t="shared" si="12"/>
        <v>48816.75</v>
      </c>
      <c r="V98" s="103">
        <f t="shared" si="6"/>
        <v>41006.07</v>
      </c>
      <c r="W98" s="103">
        <f t="shared" si="7"/>
        <v>97707.7</v>
      </c>
      <c r="X98" s="103">
        <f t="shared" si="8"/>
        <v>117234.4</v>
      </c>
      <c r="Y98" s="103">
        <f t="shared" si="9"/>
        <v>136761.1</v>
      </c>
      <c r="Z98" s="103">
        <f t="shared" si="10"/>
        <v>156287.79999999999</v>
      </c>
      <c r="AA98" s="103">
        <f t="shared" si="11"/>
        <v>175814.5</v>
      </c>
    </row>
    <row r="99" spans="5:27">
      <c r="E99"/>
      <c r="F99"/>
      <c r="G99"/>
      <c r="K99" s="63">
        <v>34546</v>
      </c>
      <c r="L99">
        <v>109989</v>
      </c>
      <c r="N99" s="103">
        <v>-1999</v>
      </c>
      <c r="S99" s="103"/>
      <c r="T99" s="103"/>
      <c r="U99" s="217">
        <f t="shared" si="12"/>
        <v>27497.25</v>
      </c>
      <c r="V99" s="103">
        <f t="shared" si="6"/>
        <v>23097.69</v>
      </c>
      <c r="W99" s="103">
        <f t="shared" si="7"/>
        <v>8999.9000000000015</v>
      </c>
      <c r="X99" s="103">
        <f t="shared" si="8"/>
        <v>19998.800000000003</v>
      </c>
      <c r="Y99" s="103">
        <f t="shared" si="9"/>
        <v>30997.699999999997</v>
      </c>
      <c r="Z99" s="103">
        <f t="shared" si="10"/>
        <v>41996.600000000006</v>
      </c>
      <c r="AA99" s="103">
        <f t="shared" si="11"/>
        <v>52995.5</v>
      </c>
    </row>
    <row r="100" spans="5:27">
      <c r="E100"/>
      <c r="F100"/>
      <c r="G100"/>
      <c r="K100" s="63">
        <v>34577</v>
      </c>
      <c r="L100">
        <v>75159</v>
      </c>
      <c r="M100">
        <f>L100+L99+L98</f>
        <v>380415</v>
      </c>
      <c r="N100" s="103">
        <v>-10904</v>
      </c>
      <c r="Q100">
        <f>N98+N99+N100</f>
        <v>65278</v>
      </c>
      <c r="S100" s="103"/>
      <c r="T100" s="103"/>
      <c r="U100" s="217">
        <f t="shared" si="12"/>
        <v>18789.75</v>
      </c>
      <c r="V100" s="103">
        <f t="shared" si="6"/>
        <v>15783.39</v>
      </c>
      <c r="W100" s="103">
        <f t="shared" si="7"/>
        <v>-3388.0999999999995</v>
      </c>
      <c r="X100" s="103">
        <f t="shared" si="8"/>
        <v>4127.8000000000011</v>
      </c>
      <c r="Y100" s="103">
        <f t="shared" si="9"/>
        <v>11643.7</v>
      </c>
      <c r="Z100" s="103">
        <f t="shared" si="10"/>
        <v>19159.600000000002</v>
      </c>
      <c r="AA100" s="103">
        <f t="shared" si="11"/>
        <v>26675.5</v>
      </c>
    </row>
    <row r="101" spans="5:27">
      <c r="E101"/>
      <c r="F101"/>
      <c r="G101"/>
      <c r="K101" s="63">
        <v>34607</v>
      </c>
      <c r="L101">
        <v>142669</v>
      </c>
      <c r="N101" s="103">
        <v>21881</v>
      </c>
      <c r="S101" s="103"/>
      <c r="T101" s="103"/>
      <c r="U101" s="103"/>
    </row>
    <row r="102" spans="5:27">
      <c r="E102"/>
      <c r="F102"/>
      <c r="G102"/>
      <c r="K102" s="63">
        <v>34638</v>
      </c>
      <c r="L102">
        <v>61341</v>
      </c>
      <c r="N102" s="103">
        <v>-28992</v>
      </c>
      <c r="S102" s="103"/>
      <c r="T102" s="103"/>
      <c r="U102" s="103"/>
    </row>
    <row r="103" spans="5:27">
      <c r="E103"/>
      <c r="F103"/>
      <c r="G103"/>
      <c r="K103" s="207">
        <v>34668</v>
      </c>
      <c r="L103" s="208">
        <v>143965</v>
      </c>
      <c r="M103" s="208">
        <f>L103+L102+L101</f>
        <v>347975</v>
      </c>
      <c r="N103" s="208">
        <v>8706</v>
      </c>
      <c r="O103" s="208">
        <f t="shared" ref="O103:O125" si="13">SUM(L92:L103)</f>
        <v>1284566</v>
      </c>
      <c r="P103" s="208">
        <f t="shared" ref="P103:P125" si="14">SUM(N92:N103)</f>
        <v>-37818</v>
      </c>
      <c r="Q103" s="64">
        <f>N101+N102+N103</f>
        <v>1595</v>
      </c>
      <c r="R103" s="103"/>
      <c r="S103" s="103"/>
      <c r="T103" s="103"/>
      <c r="U103" s="103"/>
    </row>
    <row r="104" spans="5:27">
      <c r="E104"/>
      <c r="F104"/>
      <c r="G104"/>
      <c r="K104" s="63">
        <v>34699</v>
      </c>
      <c r="L104" s="103">
        <v>94787</v>
      </c>
      <c r="M104" s="103"/>
      <c r="N104" s="103">
        <v>5502</v>
      </c>
      <c r="O104" s="103">
        <f t="shared" si="13"/>
        <v>1323956</v>
      </c>
      <c r="P104" s="103">
        <f t="shared" si="14"/>
        <v>-3182</v>
      </c>
      <c r="Q104" s="103"/>
      <c r="R104" s="103"/>
      <c r="S104" s="103"/>
      <c r="T104" s="103"/>
      <c r="U104" s="103"/>
    </row>
    <row r="105" spans="5:27">
      <c r="E105"/>
      <c r="F105"/>
      <c r="G105"/>
      <c r="K105" s="63">
        <v>34730</v>
      </c>
      <c r="L105" s="103">
        <v>98803</v>
      </c>
      <c r="M105" s="103"/>
      <c r="N105" s="103">
        <v>3225</v>
      </c>
      <c r="O105" s="103">
        <f t="shared" si="13"/>
        <v>1290447</v>
      </c>
      <c r="P105" s="103">
        <f t="shared" si="14"/>
        <v>-13280</v>
      </c>
      <c r="Q105" s="103"/>
      <c r="R105" s="103"/>
      <c r="S105" s="103"/>
      <c r="T105" s="103"/>
      <c r="U105" s="103"/>
      <c r="V105" t="s">
        <v>1396</v>
      </c>
    </row>
    <row r="106" spans="5:27">
      <c r="E106"/>
      <c r="F106"/>
      <c r="G106"/>
      <c r="K106" s="63">
        <v>34758</v>
      </c>
      <c r="L106" s="103">
        <v>88380</v>
      </c>
      <c r="M106" s="103">
        <f>L106+L105+L104</f>
        <v>281970</v>
      </c>
      <c r="N106" s="103">
        <v>3468</v>
      </c>
      <c r="O106" s="103">
        <f t="shared" si="13"/>
        <v>1262124</v>
      </c>
      <c r="P106" s="103">
        <f t="shared" si="14"/>
        <v>13258</v>
      </c>
      <c r="Q106">
        <f>N104+N105+N106</f>
        <v>12195</v>
      </c>
      <c r="R106" s="103"/>
      <c r="S106" s="103"/>
      <c r="T106" s="103"/>
      <c r="U106" s="103"/>
    </row>
    <row r="107" spans="5:27">
      <c r="E107"/>
      <c r="F107"/>
      <c r="G107"/>
      <c r="K107" s="63">
        <v>34789</v>
      </c>
      <c r="L107" s="103">
        <v>104262</v>
      </c>
      <c r="M107" s="103"/>
      <c r="N107" s="103">
        <v>18882</v>
      </c>
      <c r="O107" s="103">
        <f t="shared" si="13"/>
        <v>1270693</v>
      </c>
      <c r="P107" s="103">
        <f t="shared" si="14"/>
        <v>30752</v>
      </c>
      <c r="Q107" s="103"/>
      <c r="R107" s="103"/>
      <c r="S107" s="103"/>
      <c r="T107" s="103"/>
      <c r="U107" s="103"/>
    </row>
    <row r="108" spans="5:27">
      <c r="E108"/>
      <c r="F108"/>
      <c r="G108"/>
      <c r="K108" s="63">
        <v>34819</v>
      </c>
      <c r="L108" s="103">
        <v>70538</v>
      </c>
      <c r="M108" s="103"/>
      <c r="N108" s="103">
        <v>-9799</v>
      </c>
      <c r="O108" s="103">
        <f t="shared" si="13"/>
        <v>1257886</v>
      </c>
      <c r="P108" s="103">
        <f t="shared" si="14"/>
        <v>70183</v>
      </c>
      <c r="Q108" s="103"/>
      <c r="R108" s="103"/>
      <c r="S108" s="103"/>
      <c r="T108" s="103"/>
      <c r="U108" s="103"/>
    </row>
    <row r="109" spans="5:27">
      <c r="E109"/>
      <c r="F109"/>
      <c r="G109"/>
      <c r="K109" s="63">
        <v>34850</v>
      </c>
      <c r="L109" s="103">
        <v>85240</v>
      </c>
      <c r="M109" s="103">
        <f>L109+L108+L107</f>
        <v>260040</v>
      </c>
      <c r="N109" s="103">
        <v>4504</v>
      </c>
      <c r="O109" s="103">
        <f t="shared" si="13"/>
        <v>1270400</v>
      </c>
      <c r="P109" s="103">
        <f t="shared" si="14"/>
        <v>92655</v>
      </c>
      <c r="Q109">
        <f>N107+N108+N109</f>
        <v>13587</v>
      </c>
      <c r="R109" s="103"/>
      <c r="S109" s="103"/>
      <c r="T109" s="103"/>
      <c r="U109" s="103"/>
    </row>
    <row r="110" spans="5:27">
      <c r="E110"/>
      <c r="F110"/>
      <c r="G110"/>
      <c r="K110" s="63">
        <v>34880</v>
      </c>
      <c r="L110" s="103">
        <v>56451</v>
      </c>
      <c r="M110" s="103"/>
      <c r="N110" s="103">
        <v>-8406</v>
      </c>
      <c r="O110" s="103">
        <f t="shared" si="13"/>
        <v>1131584</v>
      </c>
      <c r="P110" s="103">
        <f t="shared" si="14"/>
        <v>6068</v>
      </c>
      <c r="Q110" s="103"/>
      <c r="R110" s="103"/>
      <c r="S110" s="103"/>
      <c r="T110" s="103"/>
      <c r="U110" s="103"/>
    </row>
    <row r="111" spans="5:27">
      <c r="E111"/>
      <c r="F111"/>
      <c r="G111"/>
      <c r="K111" s="63">
        <v>34911</v>
      </c>
      <c r="L111" s="103">
        <v>117318</v>
      </c>
      <c r="M111" s="103"/>
      <c r="N111" s="103">
        <v>26003</v>
      </c>
      <c r="O111" s="103">
        <f t="shared" si="13"/>
        <v>1138913</v>
      </c>
      <c r="P111" s="103">
        <f t="shared" si="14"/>
        <v>34070</v>
      </c>
      <c r="Q111" s="103"/>
      <c r="R111" s="103"/>
      <c r="S111" s="103"/>
      <c r="T111" s="103"/>
      <c r="U111" s="103"/>
    </row>
    <row r="112" spans="5:27">
      <c r="E112"/>
      <c r="F112"/>
      <c r="G112"/>
      <c r="K112" s="63">
        <v>34942</v>
      </c>
      <c r="L112" s="103">
        <v>109351</v>
      </c>
      <c r="M112" s="103">
        <f>L112+L111+L110</f>
        <v>283120</v>
      </c>
      <c r="N112" s="103">
        <v>32894</v>
      </c>
      <c r="O112" s="103">
        <f t="shared" si="13"/>
        <v>1173105</v>
      </c>
      <c r="P112" s="103">
        <f t="shared" si="14"/>
        <v>77868</v>
      </c>
      <c r="Q112">
        <f>N110+N111+N112</f>
        <v>50491</v>
      </c>
      <c r="R112" s="103"/>
      <c r="S112" s="103"/>
      <c r="T112" s="103"/>
      <c r="U112" s="103"/>
    </row>
    <row r="113" spans="5:27" ht="14" thickBot="1">
      <c r="E113"/>
      <c r="F113"/>
      <c r="G113"/>
      <c r="K113" s="63">
        <v>34972</v>
      </c>
      <c r="L113" s="103">
        <v>66507</v>
      </c>
      <c r="M113" s="103"/>
      <c r="N113" s="103">
        <v>-5117</v>
      </c>
      <c r="O113" s="103">
        <f t="shared" si="13"/>
        <v>1096943</v>
      </c>
      <c r="P113" s="103">
        <f t="shared" si="14"/>
        <v>50870</v>
      </c>
      <c r="Q113" s="103"/>
      <c r="R113" s="103"/>
      <c r="S113" s="103"/>
      <c r="T113" s="103"/>
    </row>
    <row r="114" spans="5:27">
      <c r="K114" s="63">
        <v>35003</v>
      </c>
      <c r="L114" s="103">
        <v>102341</v>
      </c>
      <c r="M114" s="103"/>
      <c r="N114" s="103">
        <v>17780</v>
      </c>
      <c r="O114" s="103">
        <f t="shared" si="13"/>
        <v>1137943</v>
      </c>
      <c r="P114" s="103">
        <f t="shared" si="14"/>
        <v>97642</v>
      </c>
      <c r="Q114" s="103"/>
      <c r="R114" s="103"/>
      <c r="S114" s="809" t="s">
        <v>535</v>
      </c>
      <c r="T114" s="810"/>
      <c r="U114" s="103">
        <f>AVERAGE(U92:U108)</f>
        <v>26016.416666666668</v>
      </c>
      <c r="V114" s="117">
        <f>(-43893-164833)/3297034</f>
        <v>-6.3307202776798785E-2</v>
      </c>
      <c r="W114" s="103">
        <f>AVERAGE(W92:W108)</f>
        <v>6027.344444444444</v>
      </c>
      <c r="X114" s="103">
        <f>AVERAGE(X92:X108)</f>
        <v>16433.911111111112</v>
      </c>
      <c r="Y114" s="103">
        <f>AVERAGE(Y92:Y108)</f>
        <v>26840.477777777782</v>
      </c>
      <c r="Z114" s="103">
        <f>AVERAGE(Z92:Z108)</f>
        <v>37247.044444444444</v>
      </c>
      <c r="AA114" s="103">
        <f>AVERAGE(AA92:AA108)</f>
        <v>47653.611111111109</v>
      </c>
    </row>
    <row r="115" spans="5:27" ht="14" thickBot="1">
      <c r="K115" s="63">
        <v>35033</v>
      </c>
      <c r="L115" s="103">
        <v>92455</v>
      </c>
      <c r="M115" s="103">
        <f>L115+L114+L113</f>
        <v>261303</v>
      </c>
      <c r="N115" s="103">
        <v>13836</v>
      </c>
      <c r="O115" s="103">
        <f t="shared" si="13"/>
        <v>1086433</v>
      </c>
      <c r="P115" s="103">
        <f t="shared" si="14"/>
        <v>102772</v>
      </c>
      <c r="Q115">
        <f>N113+N114+N115</f>
        <v>26499</v>
      </c>
      <c r="R115" s="103"/>
      <c r="S115" s="327" t="s">
        <v>530</v>
      </c>
      <c r="T115" s="328" t="s">
        <v>173</v>
      </c>
    </row>
    <row r="116" spans="5:27">
      <c r="K116" s="63">
        <v>35064</v>
      </c>
      <c r="L116" s="103">
        <v>63936</v>
      </c>
      <c r="M116" s="103"/>
      <c r="N116" s="103">
        <v>-2487</v>
      </c>
      <c r="O116" s="103">
        <f t="shared" si="13"/>
        <v>1055582</v>
      </c>
      <c r="P116" s="103">
        <f t="shared" si="14"/>
        <v>94783</v>
      </c>
      <c r="Q116" s="103"/>
      <c r="R116" s="103"/>
      <c r="S116" s="117">
        <f>O116/O104-1</f>
        <v>-0.20270613222795919</v>
      </c>
      <c r="T116" s="117">
        <f>P116/P104-1</f>
        <v>-30.787240729101192</v>
      </c>
      <c r="W116" s="117">
        <f>W114/$L$80</f>
        <v>3.3122372916956695E-2</v>
      </c>
      <c r="X116" s="117">
        <f>X114/$L$80</f>
        <v>9.0310108759100921E-2</v>
      </c>
      <c r="Y116" s="117">
        <f>Y114/$L$80</f>
        <v>0.14749784460124515</v>
      </c>
      <c r="Z116" s="117">
        <f>Z114/$L$80</f>
        <v>0.20468558044338933</v>
      </c>
      <c r="AA116" s="117">
        <f>AA114/$L$80</f>
        <v>0.26187331628553356</v>
      </c>
    </row>
    <row r="117" spans="5:27">
      <c r="K117" s="63">
        <v>35095</v>
      </c>
      <c r="L117" s="103">
        <v>84687</v>
      </c>
      <c r="M117" s="103"/>
      <c r="N117" s="103">
        <v>3169</v>
      </c>
      <c r="O117" s="103">
        <f t="shared" si="13"/>
        <v>1041466</v>
      </c>
      <c r="P117" s="103">
        <f t="shared" si="14"/>
        <v>94727</v>
      </c>
      <c r="Q117" s="103"/>
      <c r="R117" s="103"/>
      <c r="S117" s="117">
        <f t="shared" ref="S117:T130" si="15">O117/O105-1</f>
        <v>-0.19294167059941247</v>
      </c>
      <c r="T117" s="117">
        <f t="shared" si="15"/>
        <v>-8.1330572289156624</v>
      </c>
    </row>
    <row r="118" spans="5:27">
      <c r="K118" s="63">
        <v>35124</v>
      </c>
      <c r="L118" s="103">
        <v>69718</v>
      </c>
      <c r="M118" s="103">
        <f>L118+L117+L116</f>
        <v>218341</v>
      </c>
      <c r="N118" s="103">
        <v>-4227</v>
      </c>
      <c r="O118" s="103">
        <f t="shared" si="13"/>
        <v>1022804</v>
      </c>
      <c r="P118" s="103">
        <f t="shared" si="14"/>
        <v>87032</v>
      </c>
      <c r="Q118">
        <f>N116+N117+N118</f>
        <v>-3545</v>
      </c>
      <c r="R118" s="103"/>
      <c r="S118" s="117">
        <f t="shared" si="15"/>
        <v>-0.18961686807318456</v>
      </c>
      <c r="T118" s="117">
        <f t="shared" si="15"/>
        <v>5.5644893649117515</v>
      </c>
    </row>
    <row r="119" spans="5:27">
      <c r="K119" s="63">
        <v>35155</v>
      </c>
      <c r="L119" s="103">
        <v>105680</v>
      </c>
      <c r="M119" s="103"/>
      <c r="N119" s="103">
        <v>22461</v>
      </c>
      <c r="O119" s="103">
        <f t="shared" si="13"/>
        <v>1024222</v>
      </c>
      <c r="P119" s="103">
        <f t="shared" si="14"/>
        <v>90611</v>
      </c>
      <c r="Q119" s="103"/>
      <c r="R119" s="103"/>
      <c r="S119" s="117">
        <f t="shared" si="15"/>
        <v>-0.19396581235593491</v>
      </c>
      <c r="T119" s="117">
        <f t="shared" si="15"/>
        <v>1.9465075442247657</v>
      </c>
    </row>
    <row r="120" spans="5:27">
      <c r="K120" s="63">
        <v>35185</v>
      </c>
      <c r="L120" s="103">
        <v>98629</v>
      </c>
      <c r="M120" s="103"/>
      <c r="N120" s="103">
        <v>19842</v>
      </c>
      <c r="O120" s="103">
        <f t="shared" si="13"/>
        <v>1052313</v>
      </c>
      <c r="P120" s="103">
        <f t="shared" si="14"/>
        <v>120252</v>
      </c>
      <c r="Q120" s="103"/>
      <c r="R120" s="103"/>
      <c r="S120" s="117">
        <f t="shared" si="15"/>
        <v>-0.16342736941185454</v>
      </c>
      <c r="T120" s="117">
        <f t="shared" si="15"/>
        <v>0.71340638046250526</v>
      </c>
    </row>
    <row r="121" spans="5:27">
      <c r="K121" s="63">
        <v>35216</v>
      </c>
      <c r="L121" s="103">
        <v>99749</v>
      </c>
      <c r="M121" s="103">
        <f>L121+L120+L119</f>
        <v>304058</v>
      </c>
      <c r="N121" s="103">
        <v>18135</v>
      </c>
      <c r="O121" s="103">
        <f t="shared" si="13"/>
        <v>1066822</v>
      </c>
      <c r="P121" s="103">
        <f t="shared" si="14"/>
        <v>133883</v>
      </c>
      <c r="Q121">
        <f>N119+N120+N121</f>
        <v>60438</v>
      </c>
      <c r="R121" s="103"/>
      <c r="S121" s="117">
        <f t="shared" si="15"/>
        <v>-0.16024716624685142</v>
      </c>
      <c r="T121" s="117">
        <f t="shared" si="15"/>
        <v>0.44496249527818255</v>
      </c>
    </row>
    <row r="122" spans="5:27">
      <c r="K122" s="63">
        <v>35246</v>
      </c>
      <c r="L122" s="103">
        <v>95373</v>
      </c>
      <c r="M122" s="103"/>
      <c r="N122" s="103">
        <v>15122</v>
      </c>
      <c r="O122" s="103">
        <f t="shared" si="13"/>
        <v>1105744</v>
      </c>
      <c r="P122" s="103">
        <f t="shared" si="14"/>
        <v>157411</v>
      </c>
      <c r="Q122" s="103"/>
      <c r="R122" s="103"/>
      <c r="S122" s="117">
        <f t="shared" si="15"/>
        <v>-2.2835246875176796E-2</v>
      </c>
      <c r="T122" s="117">
        <f t="shared" si="15"/>
        <v>24.941166776532629</v>
      </c>
    </row>
    <row r="123" spans="5:27">
      <c r="K123" s="63">
        <v>35277</v>
      </c>
      <c r="L123" s="103">
        <v>98021</v>
      </c>
      <c r="M123" s="103"/>
      <c r="N123" s="103">
        <v>16624</v>
      </c>
      <c r="O123" s="103">
        <f t="shared" si="13"/>
        <v>1086447</v>
      </c>
      <c r="P123" s="103">
        <f t="shared" si="14"/>
        <v>148032</v>
      </c>
      <c r="Q123" s="103"/>
      <c r="R123" s="103"/>
      <c r="S123" s="117">
        <f t="shared" si="15"/>
        <v>-4.6066732050648262E-2</v>
      </c>
      <c r="T123" s="117">
        <f t="shared" si="15"/>
        <v>3.3449368946287059</v>
      </c>
    </row>
    <row r="124" spans="5:27">
      <c r="K124" s="63">
        <v>35308</v>
      </c>
      <c r="L124" s="103">
        <v>104848</v>
      </c>
      <c r="M124" s="103">
        <f>L124+L123+L122</f>
        <v>298242</v>
      </c>
      <c r="N124" s="103">
        <v>32351</v>
      </c>
      <c r="O124" s="103">
        <f t="shared" si="13"/>
        <v>1081944</v>
      </c>
      <c r="P124" s="103">
        <f t="shared" si="14"/>
        <v>147489</v>
      </c>
      <c r="Q124">
        <f>N122+N123+N124</f>
        <v>64097</v>
      </c>
      <c r="R124" s="103"/>
      <c r="S124" s="117">
        <f t="shared" si="15"/>
        <v>-7.7709156469369711E-2</v>
      </c>
      <c r="T124" s="117">
        <f t="shared" si="15"/>
        <v>0.89408999845893056</v>
      </c>
    </row>
    <row r="125" spans="5:27">
      <c r="K125" s="63">
        <v>35338</v>
      </c>
      <c r="L125" s="103">
        <v>108225</v>
      </c>
      <c r="M125" s="103"/>
      <c r="N125" s="103">
        <v>31194</v>
      </c>
      <c r="O125" s="103">
        <f t="shared" si="13"/>
        <v>1123662</v>
      </c>
      <c r="P125" s="103">
        <f t="shared" si="14"/>
        <v>183800</v>
      </c>
      <c r="Q125" s="103"/>
      <c r="R125" s="103"/>
      <c r="S125" s="117">
        <f t="shared" si="15"/>
        <v>2.4357692241073536E-2</v>
      </c>
      <c r="T125" s="117">
        <f t="shared" si="15"/>
        <v>2.6131315116964813</v>
      </c>
    </row>
    <row r="126" spans="5:27">
      <c r="K126" s="63">
        <v>35369</v>
      </c>
      <c r="L126" s="103">
        <v>110329</v>
      </c>
      <c r="M126" s="103"/>
      <c r="N126" s="103">
        <v>24027</v>
      </c>
      <c r="O126" s="103">
        <f>SUM(L115:L126)</f>
        <v>1131650</v>
      </c>
      <c r="P126" s="103">
        <f>SUM(N115:N126)</f>
        <v>190047</v>
      </c>
      <c r="Q126" s="103"/>
      <c r="R126" s="103"/>
      <c r="S126" s="117">
        <f t="shared" si="15"/>
        <v>-5.5301539708052516E-3</v>
      </c>
      <c r="T126" s="117">
        <f t="shared" si="15"/>
        <v>0.94636529362364552</v>
      </c>
    </row>
    <row r="127" spans="5:27">
      <c r="K127" s="207">
        <v>35399</v>
      </c>
      <c r="L127" s="208">
        <v>142899</v>
      </c>
      <c r="M127" s="208">
        <f>L127+L126+L125</f>
        <v>361453</v>
      </c>
      <c r="N127" s="208">
        <v>4394</v>
      </c>
      <c r="O127" s="208">
        <f>SUM(L116:L127)</f>
        <v>1182094</v>
      </c>
      <c r="P127" s="208">
        <f>SUM(N116:N127)</f>
        <v>180605</v>
      </c>
      <c r="Q127" s="64">
        <f>N125+N126+N127</f>
        <v>59615</v>
      </c>
      <c r="R127" s="103"/>
      <c r="S127" s="117">
        <f t="shared" si="15"/>
        <v>8.8050528656622218E-2</v>
      </c>
      <c r="T127" s="117">
        <f t="shared" si="15"/>
        <v>0.75733662865371887</v>
      </c>
    </row>
    <row r="128" spans="5:27">
      <c r="K128" s="63">
        <v>35430</v>
      </c>
      <c r="L128" s="103">
        <v>110711</v>
      </c>
      <c r="M128" s="103"/>
      <c r="N128" s="103">
        <v>18594</v>
      </c>
      <c r="O128" s="103">
        <f>SUM(L117:L128)</f>
        <v>1228869</v>
      </c>
      <c r="P128" s="103">
        <f>SUM(N117:N128)</f>
        <v>201686</v>
      </c>
      <c r="Q128" s="103"/>
      <c r="R128" s="103"/>
      <c r="S128" s="117">
        <f t="shared" si="15"/>
        <v>0.16416251887584288</v>
      </c>
      <c r="T128" s="117">
        <f t="shared" si="15"/>
        <v>1.1278710317250984</v>
      </c>
    </row>
    <row r="129" spans="5:24">
      <c r="K129" s="63">
        <v>35461</v>
      </c>
      <c r="L129" s="103">
        <v>113241</v>
      </c>
      <c r="M129" s="103"/>
      <c r="N129" s="103">
        <v>31089</v>
      </c>
      <c r="O129" s="103">
        <f>SUM(L118:L129)</f>
        <v>1257423</v>
      </c>
      <c r="P129" s="103">
        <f>SUM(N118:N129)</f>
        <v>229606</v>
      </c>
      <c r="Q129" s="103"/>
      <c r="R129" s="103"/>
      <c r="S129" s="117">
        <f t="shared" si="15"/>
        <v>0.20735866557333615</v>
      </c>
      <c r="T129" s="117">
        <f t="shared" si="15"/>
        <v>1.4238707021229429</v>
      </c>
    </row>
    <row r="130" spans="5:24">
      <c r="K130" s="63">
        <v>35489</v>
      </c>
      <c r="L130" s="103">
        <v>146356</v>
      </c>
      <c r="M130" s="103">
        <f>L130+L129+L128</f>
        <v>370308</v>
      </c>
      <c r="N130" s="103">
        <v>47154</v>
      </c>
      <c r="O130" s="103">
        <f>SUM(L119:L130)</f>
        <v>1334061</v>
      </c>
      <c r="P130" s="103">
        <f>SUM(N119:N130)</f>
        <v>280987</v>
      </c>
      <c r="Q130">
        <f>N128+N129+N130</f>
        <v>96837</v>
      </c>
      <c r="R130" s="103"/>
      <c r="S130" s="117">
        <f t="shared" si="15"/>
        <v>0.30431734721412895</v>
      </c>
      <c r="T130" s="117">
        <f t="shared" si="15"/>
        <v>2.2285481202316388</v>
      </c>
    </row>
    <row r="131" spans="5:24">
      <c r="E131"/>
      <c r="F131"/>
      <c r="G131"/>
    </row>
    <row r="132" spans="5:24">
      <c r="E132"/>
      <c r="F132"/>
      <c r="G132"/>
    </row>
    <row r="133" spans="5:24">
      <c r="E133"/>
      <c r="F133"/>
      <c r="G133"/>
    </row>
    <row r="134" spans="5:24" ht="26">
      <c r="E134"/>
      <c r="F134"/>
      <c r="G134"/>
      <c r="K134" s="131" t="s">
        <v>639</v>
      </c>
      <c r="L134" s="132" t="s">
        <v>96</v>
      </c>
      <c r="M134" s="132" t="s">
        <v>556</v>
      </c>
      <c r="N134" s="132" t="s">
        <v>1159</v>
      </c>
      <c r="O134" s="133" t="s">
        <v>857</v>
      </c>
      <c r="P134" s="133" t="s">
        <v>763</v>
      </c>
      <c r="Q134" s="133" t="s">
        <v>764</v>
      </c>
      <c r="R134" s="133" t="s">
        <v>1048</v>
      </c>
      <c r="S134" s="132" t="s">
        <v>1377</v>
      </c>
      <c r="T134" s="132" t="s">
        <v>634</v>
      </c>
      <c r="U134" s="132" t="s">
        <v>634</v>
      </c>
      <c r="V134" s="132" t="s">
        <v>634</v>
      </c>
      <c r="W134" s="132" t="s">
        <v>634</v>
      </c>
      <c r="X134" s="132" t="s">
        <v>634</v>
      </c>
    </row>
    <row r="135" spans="5:24">
      <c r="E135"/>
      <c r="F135"/>
      <c r="G135"/>
      <c r="K135" s="154">
        <v>33969</v>
      </c>
      <c r="L135" s="153">
        <v>14013</v>
      </c>
      <c r="M135" s="153">
        <v>-28856</v>
      </c>
      <c r="N135" s="151"/>
      <c r="O135" s="152"/>
      <c r="P135" s="152"/>
      <c r="Q135" s="152"/>
      <c r="R135" s="152"/>
      <c r="S135" s="151"/>
      <c r="T135" s="151"/>
      <c r="U135" s="151"/>
      <c r="V135" s="151"/>
      <c r="W135" s="151"/>
      <c r="X135" s="151"/>
    </row>
    <row r="136" spans="5:24">
      <c r="E136"/>
      <c r="F136"/>
      <c r="G136"/>
      <c r="K136" s="155" t="s">
        <v>496</v>
      </c>
      <c r="L136" s="153">
        <v>81927</v>
      </c>
      <c r="M136" s="153">
        <v>29243</v>
      </c>
      <c r="N136" s="151"/>
      <c r="O136" s="152"/>
      <c r="P136" s="152"/>
      <c r="Q136" s="152"/>
      <c r="R136" s="152"/>
      <c r="S136" s="151"/>
      <c r="T136" s="151"/>
      <c r="U136" s="151"/>
      <c r="V136" s="151"/>
      <c r="W136" s="151"/>
      <c r="X136" s="151"/>
    </row>
    <row r="137" spans="5:24">
      <c r="E137"/>
      <c r="F137"/>
      <c r="G137"/>
      <c r="K137" s="155" t="s">
        <v>497</v>
      </c>
      <c r="L137" s="153">
        <v>79095</v>
      </c>
      <c r="M137" s="153">
        <v>2218</v>
      </c>
      <c r="N137" s="151"/>
      <c r="O137" s="152"/>
      <c r="P137" s="152"/>
      <c r="Q137" s="152"/>
      <c r="R137" s="152"/>
      <c r="S137" s="151"/>
      <c r="T137" s="151"/>
      <c r="U137" s="151"/>
      <c r="V137" s="151"/>
      <c r="W137" s="151"/>
      <c r="X137" s="151"/>
    </row>
    <row r="138" spans="5:24">
      <c r="E138"/>
      <c r="F138"/>
      <c r="G138"/>
      <c r="K138" s="155" t="s">
        <v>820</v>
      </c>
      <c r="L138" s="153">
        <v>100406</v>
      </c>
      <c r="M138" s="153">
        <v>28150</v>
      </c>
      <c r="N138" s="151"/>
      <c r="O138" s="152"/>
      <c r="P138" s="152"/>
      <c r="Q138" s="152"/>
      <c r="R138" s="152"/>
      <c r="S138" s="151"/>
      <c r="T138" s="151"/>
      <c r="U138" s="151"/>
      <c r="V138" s="151"/>
      <c r="W138" s="151"/>
      <c r="X138" s="151"/>
    </row>
    <row r="139" spans="5:24">
      <c r="E139"/>
      <c r="F139"/>
      <c r="G139"/>
      <c r="K139" s="155" t="s">
        <v>953</v>
      </c>
      <c r="L139" s="153">
        <v>81524</v>
      </c>
      <c r="M139" s="153">
        <v>4132</v>
      </c>
      <c r="N139" s="151"/>
      <c r="O139" s="152"/>
      <c r="P139" s="152"/>
      <c r="Q139" s="152"/>
      <c r="R139" s="152"/>
      <c r="S139" s="151"/>
      <c r="T139" s="151"/>
      <c r="U139" s="151"/>
      <c r="V139" s="151"/>
      <c r="W139" s="151"/>
      <c r="X139" s="151"/>
    </row>
    <row r="140" spans="5:24">
      <c r="E140"/>
      <c r="F140"/>
      <c r="G140"/>
      <c r="K140" s="155" t="s">
        <v>970</v>
      </c>
      <c r="L140" s="153">
        <v>68268</v>
      </c>
      <c r="M140" s="153">
        <v>6599</v>
      </c>
      <c r="N140" s="151"/>
      <c r="O140" s="152"/>
      <c r="P140" s="152"/>
      <c r="Q140" s="152"/>
      <c r="R140" s="152"/>
      <c r="S140" s="151"/>
      <c r="T140" s="151"/>
      <c r="U140" s="151"/>
      <c r="V140" s="151"/>
      <c r="W140" s="151"/>
      <c r="X140" s="151"/>
    </row>
    <row r="141" spans="5:24">
      <c r="E141"/>
      <c r="F141"/>
      <c r="G141"/>
      <c r="K141" s="155" t="s">
        <v>972</v>
      </c>
      <c r="L141" s="153">
        <v>29573</v>
      </c>
      <c r="M141" s="153">
        <v>-23566</v>
      </c>
      <c r="N141" s="151"/>
      <c r="O141" s="152"/>
      <c r="P141" s="152"/>
      <c r="Q141" s="152"/>
      <c r="R141" s="152"/>
      <c r="S141" s="151"/>
      <c r="T141" s="151"/>
      <c r="U141" s="151"/>
      <c r="V141" s="151"/>
      <c r="W141" s="151"/>
      <c r="X141" s="151"/>
    </row>
    <row r="142" spans="5:24">
      <c r="E142"/>
      <c r="F142"/>
      <c r="G142"/>
      <c r="K142" s="155" t="s">
        <v>740</v>
      </c>
      <c r="L142" s="153">
        <v>341541</v>
      </c>
      <c r="M142" s="153">
        <v>207087</v>
      </c>
      <c r="N142" s="151"/>
      <c r="O142" s="152"/>
      <c r="P142" s="152"/>
      <c r="Q142" s="152"/>
      <c r="R142" s="152"/>
      <c r="S142" s="151"/>
      <c r="T142" s="151"/>
      <c r="U142" s="151"/>
      <c r="V142" s="151"/>
      <c r="W142" s="151"/>
      <c r="X142" s="151"/>
    </row>
    <row r="143" spans="5:24">
      <c r="E143"/>
      <c r="F143"/>
      <c r="G143"/>
      <c r="K143" s="155" t="s">
        <v>668</v>
      </c>
      <c r="L143" s="153">
        <v>97844</v>
      </c>
      <c r="M143" s="153">
        <v>-87320</v>
      </c>
      <c r="N143" s="151"/>
      <c r="O143" s="152"/>
      <c r="P143" s="152"/>
      <c r="Q143" s="152"/>
      <c r="R143" s="152"/>
      <c r="S143" s="151"/>
      <c r="T143" s="151"/>
      <c r="U143" s="151"/>
      <c r="V143" s="151"/>
      <c r="W143" s="151"/>
      <c r="X143" s="151"/>
    </row>
    <row r="144" spans="5:24">
      <c r="E144"/>
      <c r="F144"/>
      <c r="G144"/>
      <c r="K144" s="155" t="s">
        <v>1290</v>
      </c>
      <c r="L144" s="153">
        <v>67630</v>
      </c>
      <c r="M144" s="153">
        <v>903</v>
      </c>
      <c r="N144" s="151"/>
      <c r="O144" s="152"/>
      <c r="P144" s="152"/>
      <c r="Q144" s="152"/>
      <c r="R144" s="152"/>
      <c r="S144" s="151"/>
      <c r="T144" s="151"/>
      <c r="U144" s="151"/>
      <c r="V144" s="151"/>
      <c r="W144" s="151"/>
      <c r="X144" s="151"/>
    </row>
    <row r="145" spans="5:24">
      <c r="E145"/>
      <c r="F145"/>
      <c r="G145"/>
      <c r="K145" s="155" t="s">
        <v>726</v>
      </c>
      <c r="L145" s="153">
        <v>70817</v>
      </c>
      <c r="M145" s="153">
        <v>-21121</v>
      </c>
      <c r="N145" s="151"/>
      <c r="O145" s="152"/>
      <c r="P145" s="152"/>
      <c r="Q145" s="152"/>
      <c r="R145" s="152"/>
      <c r="S145" s="151"/>
      <c r="T145" s="151"/>
      <c r="U145" s="151"/>
      <c r="V145" s="151"/>
      <c r="W145" s="151"/>
      <c r="X145" s="151"/>
    </row>
    <row r="146" spans="5:24">
      <c r="E146"/>
      <c r="F146"/>
      <c r="G146"/>
      <c r="K146" s="155" t="s">
        <v>727</v>
      </c>
      <c r="L146" s="153">
        <v>13480</v>
      </c>
      <c r="M146" s="153">
        <v>-28765</v>
      </c>
      <c r="N146" s="151"/>
      <c r="O146" s="152"/>
      <c r="P146" s="152"/>
      <c r="Q146" s="152"/>
      <c r="R146" s="152"/>
      <c r="S146" s="151"/>
      <c r="T146" s="151"/>
      <c r="U146" s="151"/>
      <c r="V146" s="151"/>
      <c r="W146" s="151"/>
      <c r="X146" s="151"/>
    </row>
    <row r="147" spans="5:24">
      <c r="E147"/>
      <c r="F147"/>
      <c r="G147"/>
      <c r="K147" s="63">
        <v>34334</v>
      </c>
      <c r="L147" s="103">
        <v>39409</v>
      </c>
      <c r="M147" s="103">
        <v>-36347</v>
      </c>
      <c r="O147" s="103">
        <f t="shared" ref="O147:O158" si="16">L147+N147</f>
        <v>39409</v>
      </c>
      <c r="P147" s="103">
        <f t="shared" ref="P147:P158" si="17">M147+N147</f>
        <v>-36347</v>
      </c>
      <c r="Q147" s="103">
        <f t="shared" ref="Q147:Q158" si="18">O147-P147</f>
        <v>75756</v>
      </c>
      <c r="R147" s="103">
        <f t="shared" ref="R147:R153" si="19">0.41*L147</f>
        <v>16157.689999999999</v>
      </c>
      <c r="S147" s="103">
        <f t="shared" ref="S147:S153" si="20">L147*0.21</f>
        <v>8275.89</v>
      </c>
      <c r="T147" s="103">
        <f t="shared" ref="T147:X153" si="21">$M147+$L147*T$47</f>
        <v>-32406.1</v>
      </c>
      <c r="U147" s="103">
        <f t="shared" si="21"/>
        <v>-28465.200000000001</v>
      </c>
      <c r="V147" s="103">
        <f t="shared" si="21"/>
        <v>-24524.300000000003</v>
      </c>
      <c r="W147" s="103">
        <f t="shared" si="21"/>
        <v>-20583.400000000001</v>
      </c>
      <c r="X147" s="103">
        <f t="shared" si="21"/>
        <v>-16642.5</v>
      </c>
    </row>
    <row r="148" spans="5:24">
      <c r="E148"/>
      <c r="F148"/>
      <c r="G148"/>
      <c r="K148" s="63">
        <v>34365</v>
      </c>
      <c r="L148" s="103">
        <v>141669</v>
      </c>
      <c r="M148" s="103">
        <v>86237</v>
      </c>
      <c r="N148">
        <v>-60000</v>
      </c>
      <c r="O148" s="103">
        <f t="shared" si="16"/>
        <v>81669</v>
      </c>
      <c r="P148" s="103">
        <f t="shared" si="17"/>
        <v>26237</v>
      </c>
      <c r="Q148" s="103">
        <f t="shared" si="18"/>
        <v>55432</v>
      </c>
      <c r="R148" s="103">
        <f t="shared" si="19"/>
        <v>58084.289999999994</v>
      </c>
      <c r="S148" s="103">
        <f t="shared" si="20"/>
        <v>29750.489999999998</v>
      </c>
      <c r="T148" s="103">
        <f t="shared" si="21"/>
        <v>100403.9</v>
      </c>
      <c r="U148" s="103">
        <f t="shared" si="21"/>
        <v>114570.8</v>
      </c>
      <c r="V148" s="103">
        <f t="shared" si="21"/>
        <v>128737.7</v>
      </c>
      <c r="W148" s="103">
        <f t="shared" si="21"/>
        <v>142904.6</v>
      </c>
      <c r="X148" s="103">
        <f t="shared" si="21"/>
        <v>157071.5</v>
      </c>
    </row>
    <row r="149" spans="5:24">
      <c r="E149"/>
      <c r="F149"/>
      <c r="G149"/>
      <c r="K149" s="63">
        <v>34393</v>
      </c>
      <c r="L149" s="103">
        <v>31870</v>
      </c>
      <c r="M149" s="103">
        <v>-8256</v>
      </c>
      <c r="O149" s="103">
        <f t="shared" si="16"/>
        <v>31870</v>
      </c>
      <c r="P149" s="103">
        <f t="shared" si="17"/>
        <v>-8256</v>
      </c>
      <c r="Q149" s="103">
        <f t="shared" si="18"/>
        <v>40126</v>
      </c>
      <c r="R149" s="103">
        <f t="shared" si="19"/>
        <v>13066.699999999999</v>
      </c>
      <c r="S149" s="103">
        <f t="shared" si="20"/>
        <v>6692.7</v>
      </c>
      <c r="T149" s="103">
        <f t="shared" si="21"/>
        <v>-5069</v>
      </c>
      <c r="U149" s="103">
        <f t="shared" si="21"/>
        <v>-1882</v>
      </c>
      <c r="V149" s="103">
        <f t="shared" si="21"/>
        <v>1305</v>
      </c>
      <c r="W149" s="103">
        <f t="shared" si="21"/>
        <v>4492</v>
      </c>
      <c r="X149" s="103">
        <f t="shared" si="21"/>
        <v>7679</v>
      </c>
    </row>
    <row r="150" spans="5:24">
      <c r="E150"/>
      <c r="F150"/>
      <c r="G150"/>
      <c r="K150" s="63">
        <v>34424</v>
      </c>
      <c r="L150" s="103">
        <v>68009</v>
      </c>
      <c r="M150" s="103">
        <v>22355</v>
      </c>
      <c r="N150" s="103">
        <v>-36000</v>
      </c>
      <c r="O150" s="103">
        <f t="shared" si="16"/>
        <v>32009</v>
      </c>
      <c r="P150" s="103">
        <f t="shared" si="17"/>
        <v>-13645</v>
      </c>
      <c r="Q150" s="103">
        <f t="shared" si="18"/>
        <v>45654</v>
      </c>
      <c r="R150" s="103">
        <f t="shared" si="19"/>
        <v>27883.69</v>
      </c>
      <c r="S150" s="103">
        <f t="shared" si="20"/>
        <v>14281.89</v>
      </c>
      <c r="T150" s="103">
        <f t="shared" si="21"/>
        <v>29155.9</v>
      </c>
      <c r="U150" s="103">
        <f t="shared" si="21"/>
        <v>35956.800000000003</v>
      </c>
      <c r="V150" s="103">
        <f t="shared" si="21"/>
        <v>42757.7</v>
      </c>
      <c r="W150" s="103">
        <f t="shared" si="21"/>
        <v>49558.600000000006</v>
      </c>
      <c r="X150" s="103">
        <f t="shared" si="21"/>
        <v>56359.5</v>
      </c>
    </row>
    <row r="151" spans="5:24">
      <c r="E151"/>
      <c r="F151"/>
      <c r="G151"/>
      <c r="K151" s="63">
        <v>34454</v>
      </c>
      <c r="L151" s="103">
        <v>139918</v>
      </c>
      <c r="M151" s="103">
        <v>60571</v>
      </c>
      <c r="O151" s="103">
        <f t="shared" si="16"/>
        <v>139918</v>
      </c>
      <c r="P151" s="103">
        <f t="shared" si="17"/>
        <v>60571</v>
      </c>
      <c r="Q151" s="103">
        <f t="shared" si="18"/>
        <v>79347</v>
      </c>
      <c r="R151" s="103">
        <f t="shared" si="19"/>
        <v>57366.38</v>
      </c>
      <c r="S151" s="103">
        <f t="shared" si="20"/>
        <v>29382.78</v>
      </c>
      <c r="T151" s="103">
        <f t="shared" si="21"/>
        <v>74562.8</v>
      </c>
      <c r="U151" s="103">
        <f t="shared" si="21"/>
        <v>88554.6</v>
      </c>
      <c r="V151" s="103">
        <f t="shared" si="21"/>
        <v>102546.4</v>
      </c>
      <c r="W151" s="103">
        <f t="shared" si="21"/>
        <v>116538.20000000001</v>
      </c>
      <c r="X151" s="103">
        <f t="shared" si="21"/>
        <v>130530</v>
      </c>
    </row>
    <row r="152" spans="5:24">
      <c r="E152"/>
      <c r="F152"/>
      <c r="G152"/>
      <c r="K152" s="63">
        <v>34485</v>
      </c>
      <c r="L152" s="103">
        <v>41509</v>
      </c>
      <c r="M152" s="103">
        <v>-50648</v>
      </c>
      <c r="O152" s="103">
        <f t="shared" si="16"/>
        <v>41509</v>
      </c>
      <c r="P152" s="103">
        <f t="shared" si="17"/>
        <v>-50648</v>
      </c>
      <c r="Q152" s="103">
        <f t="shared" si="18"/>
        <v>92157</v>
      </c>
      <c r="R152" s="103">
        <f t="shared" si="19"/>
        <v>17018.689999999999</v>
      </c>
      <c r="S152" s="103">
        <f t="shared" si="20"/>
        <v>8716.89</v>
      </c>
      <c r="T152" s="103">
        <f t="shared" si="21"/>
        <v>-46497.1</v>
      </c>
      <c r="U152" s="103">
        <f t="shared" si="21"/>
        <v>-42346.2</v>
      </c>
      <c r="V152" s="103">
        <f t="shared" si="21"/>
        <v>-38195.300000000003</v>
      </c>
      <c r="W152" s="103">
        <f t="shared" si="21"/>
        <v>-34044.399999999994</v>
      </c>
      <c r="X152" s="103">
        <f t="shared" si="21"/>
        <v>-29893.5</v>
      </c>
    </row>
    <row r="153" spans="5:24">
      <c r="E153"/>
      <c r="F153"/>
      <c r="G153"/>
      <c r="K153" s="63">
        <v>34515</v>
      </c>
      <c r="L153" s="103">
        <v>57635</v>
      </c>
      <c r="M153" s="103">
        <v>4576</v>
      </c>
      <c r="O153" s="103">
        <f t="shared" si="16"/>
        <v>57635</v>
      </c>
      <c r="P153" s="103">
        <f t="shared" si="17"/>
        <v>4576</v>
      </c>
      <c r="Q153" s="103">
        <f t="shared" si="18"/>
        <v>53059</v>
      </c>
      <c r="R153" s="103">
        <f t="shared" si="19"/>
        <v>23630.35</v>
      </c>
      <c r="S153" s="103">
        <f t="shared" si="20"/>
        <v>12103.35</v>
      </c>
      <c r="T153" s="103">
        <f t="shared" si="21"/>
        <v>10339.5</v>
      </c>
      <c r="U153" s="103">
        <f t="shared" si="21"/>
        <v>16103</v>
      </c>
      <c r="V153" s="103">
        <f t="shared" si="21"/>
        <v>21866.5</v>
      </c>
      <c r="W153" s="103">
        <f t="shared" si="21"/>
        <v>27630</v>
      </c>
      <c r="X153" s="103">
        <f t="shared" si="21"/>
        <v>33393.5</v>
      </c>
    </row>
    <row r="154" spans="5:24">
      <c r="E154"/>
      <c r="F154"/>
      <c r="G154"/>
      <c r="K154" s="63">
        <v>34546</v>
      </c>
      <c r="L154" s="103">
        <v>-18232</v>
      </c>
      <c r="M154" s="103">
        <v>-68476</v>
      </c>
      <c r="N154" s="103">
        <v>36000</v>
      </c>
      <c r="O154" s="103">
        <f t="shared" si="16"/>
        <v>17768</v>
      </c>
      <c r="P154" s="103">
        <f t="shared" si="17"/>
        <v>-32476</v>
      </c>
      <c r="Q154" s="103">
        <f t="shared" si="18"/>
        <v>50244</v>
      </c>
      <c r="R154" s="103"/>
    </row>
    <row r="155" spans="5:24">
      <c r="E155"/>
      <c r="F155"/>
      <c r="G155"/>
      <c r="K155" s="63">
        <v>34577</v>
      </c>
      <c r="L155" s="103">
        <v>2834</v>
      </c>
      <c r="M155" s="103">
        <v>-45740</v>
      </c>
      <c r="N155" s="103">
        <v>30000</v>
      </c>
      <c r="O155" s="103">
        <f t="shared" si="16"/>
        <v>32834</v>
      </c>
      <c r="P155" s="103">
        <f t="shared" si="17"/>
        <v>-15740</v>
      </c>
      <c r="Q155" s="103">
        <f t="shared" si="18"/>
        <v>48574</v>
      </c>
      <c r="R155" s="103"/>
    </row>
    <row r="156" spans="5:24">
      <c r="E156"/>
      <c r="F156"/>
      <c r="G156"/>
      <c r="K156" s="63">
        <v>34607</v>
      </c>
      <c r="L156" s="103">
        <v>8275</v>
      </c>
      <c r="M156" s="103">
        <v>-30144</v>
      </c>
      <c r="N156" s="103">
        <v>10000</v>
      </c>
      <c r="O156" s="103">
        <f t="shared" si="16"/>
        <v>18275</v>
      </c>
      <c r="P156" s="103">
        <f t="shared" si="17"/>
        <v>-20144</v>
      </c>
      <c r="Q156" s="103">
        <f t="shared" si="18"/>
        <v>38419</v>
      </c>
      <c r="R156" s="103"/>
    </row>
    <row r="157" spans="5:24">
      <c r="E157"/>
      <c r="F157"/>
      <c r="G157"/>
      <c r="K157" s="63">
        <v>34638</v>
      </c>
      <c r="L157" s="103">
        <v>41097</v>
      </c>
      <c r="M157" s="103">
        <v>3587</v>
      </c>
      <c r="N157" s="103">
        <v>10000</v>
      </c>
      <c r="O157" s="103">
        <f t="shared" si="16"/>
        <v>51097</v>
      </c>
      <c r="P157" s="103">
        <f t="shared" si="17"/>
        <v>13587</v>
      </c>
      <c r="Q157" s="103">
        <f t="shared" si="18"/>
        <v>37510</v>
      </c>
      <c r="R157" s="103"/>
    </row>
    <row r="158" spans="5:24">
      <c r="E158"/>
      <c r="F158"/>
      <c r="G158"/>
      <c r="K158" s="63">
        <v>34668</v>
      </c>
      <c r="L158" s="103"/>
      <c r="M158" s="103"/>
      <c r="N158" s="103"/>
      <c r="O158" s="103">
        <f t="shared" si="16"/>
        <v>0</v>
      </c>
      <c r="P158" s="103">
        <f t="shared" si="17"/>
        <v>0</v>
      </c>
      <c r="Q158" s="103">
        <f t="shared" si="18"/>
        <v>0</v>
      </c>
      <c r="R158" s="103"/>
    </row>
    <row r="159" spans="5:24">
      <c r="E159"/>
      <c r="F159"/>
      <c r="G159"/>
      <c r="K159" s="63">
        <v>34699</v>
      </c>
      <c r="L159" s="103"/>
      <c r="M159" s="103"/>
      <c r="O159" s="103"/>
      <c r="P159" s="103"/>
      <c r="Q159" s="103"/>
      <c r="R159" s="103"/>
    </row>
    <row r="160" spans="5:24">
      <c r="E160"/>
      <c r="F160"/>
      <c r="G160"/>
      <c r="K160" s="63">
        <v>34730</v>
      </c>
      <c r="L160" s="103"/>
      <c r="M160" s="103"/>
      <c r="O160" s="103"/>
      <c r="P160" s="103"/>
      <c r="Q160" s="103"/>
      <c r="R160" s="103"/>
      <c r="S160" t="s">
        <v>1396</v>
      </c>
    </row>
    <row r="161" spans="5:29">
      <c r="E161"/>
      <c r="F161"/>
      <c r="G161"/>
      <c r="K161" s="63">
        <v>34758</v>
      </c>
      <c r="L161" s="103"/>
      <c r="M161" s="103"/>
      <c r="O161" s="103"/>
      <c r="P161" s="103"/>
      <c r="Q161" s="103"/>
      <c r="R161" s="103"/>
    </row>
    <row r="162" spans="5:29">
      <c r="E162"/>
      <c r="F162"/>
      <c r="G162"/>
      <c r="K162" s="63">
        <v>34789</v>
      </c>
      <c r="L162" s="103"/>
      <c r="M162" s="103"/>
      <c r="O162" s="103"/>
      <c r="P162" s="103"/>
      <c r="Q162" s="103"/>
      <c r="R162" s="103"/>
    </row>
    <row r="163" spans="5:29">
      <c r="E163"/>
      <c r="F163"/>
      <c r="G163"/>
      <c r="K163" s="63">
        <v>34819</v>
      </c>
      <c r="L163" s="103"/>
      <c r="M163" s="103"/>
      <c r="O163" s="103"/>
      <c r="P163" s="103"/>
      <c r="Q163" s="103"/>
      <c r="R163" s="103"/>
    </row>
    <row r="164" spans="5:29">
      <c r="E164"/>
      <c r="F164"/>
      <c r="G164"/>
      <c r="K164" s="63">
        <v>34850</v>
      </c>
      <c r="L164" s="103"/>
      <c r="M164" s="103"/>
      <c r="O164" s="103"/>
      <c r="P164" s="103"/>
      <c r="Q164" s="103"/>
      <c r="R164" s="103"/>
    </row>
    <row r="165" spans="5:29">
      <c r="E165"/>
      <c r="F165"/>
      <c r="G165"/>
      <c r="O165" s="103"/>
      <c r="P165" s="103"/>
      <c r="Q165" s="103"/>
    </row>
    <row r="166" spans="5:29">
      <c r="E166"/>
      <c r="F166"/>
      <c r="G166"/>
    </row>
    <row r="167" spans="5:29">
      <c r="E167"/>
      <c r="F167"/>
      <c r="G167"/>
    </row>
    <row r="168" spans="5:29">
      <c r="E168"/>
      <c r="F168"/>
      <c r="G168"/>
    </row>
    <row r="169" spans="5:29">
      <c r="E169"/>
      <c r="F169"/>
      <c r="G169"/>
      <c r="O169" s="103"/>
      <c r="P169" s="103"/>
      <c r="Q169" s="103"/>
    </row>
    <row r="170" spans="5:29">
      <c r="E170"/>
      <c r="F170"/>
      <c r="G170"/>
      <c r="K170" t="s">
        <v>1017</v>
      </c>
      <c r="L170" s="103">
        <f>AVERAGE(L147:L163)</f>
        <v>50363</v>
      </c>
      <c r="M170" s="103">
        <f>AVERAGE(M147:M163)</f>
        <v>-5662.272727272727</v>
      </c>
      <c r="N170">
        <f>AVERAGE(N147:N163)</f>
        <v>-1666.6666666666667</v>
      </c>
      <c r="O170" s="103">
        <f>AVERAGE(O147:O163)</f>
        <v>45332.75</v>
      </c>
      <c r="P170" s="103"/>
      <c r="Q170" s="103"/>
      <c r="R170" s="103">
        <f>AVERAGE(R147:R163)</f>
        <v>30458.255714285715</v>
      </c>
      <c r="S170" s="117">
        <f>(-43893-164833)/3297034</f>
        <v>-6.3307202776798785E-2</v>
      </c>
      <c r="T170" s="103">
        <f>AVERAGE(T147:T163)</f>
        <v>18641.414285714283</v>
      </c>
      <c r="U170" s="103">
        <f>AVERAGE(U147:U163)</f>
        <v>26070.257142857143</v>
      </c>
      <c r="V170" s="103">
        <f>AVERAGE(V147:V163)</f>
        <v>33499.099999999991</v>
      </c>
      <c r="W170" s="103">
        <f>AVERAGE(W147:W163)</f>
        <v>40927.942857142851</v>
      </c>
      <c r="X170" s="103">
        <f>AVERAGE(X147:X163)</f>
        <v>48356.785714285717</v>
      </c>
    </row>
    <row r="171" spans="5:29">
      <c r="E171"/>
      <c r="F171"/>
      <c r="G171"/>
      <c r="O171" s="103"/>
      <c r="P171" s="103"/>
      <c r="Q171" s="103"/>
    </row>
    <row r="172" spans="5:29">
      <c r="K172" t="s">
        <v>1560</v>
      </c>
      <c r="O172" s="103"/>
      <c r="P172" s="103"/>
      <c r="Q172" s="103"/>
      <c r="T172" s="117">
        <f>T170/$L$80</f>
        <v>0.10244111338950104</v>
      </c>
      <c r="U172" s="117">
        <f>U170/$L$80</f>
        <v>0.14326521191643299</v>
      </c>
      <c r="V172" s="117">
        <f>V170/$L$80</f>
        <v>0.18408931044336488</v>
      </c>
      <c r="W172" s="117">
        <f>W170/$L$80</f>
        <v>0.2249134089702968</v>
      </c>
      <c r="X172" s="117">
        <f>X170/$L$80</f>
        <v>0.2657375074972288</v>
      </c>
    </row>
    <row r="173" spans="5:29">
      <c r="O173" s="103"/>
      <c r="P173" s="103"/>
      <c r="Q173" s="103"/>
      <c r="T173" s="117"/>
      <c r="U173" s="117"/>
      <c r="V173" s="117"/>
      <c r="W173" s="117"/>
      <c r="X173" s="117"/>
    </row>
    <row r="174" spans="5:29">
      <c r="O174" s="103"/>
      <c r="P174" s="103"/>
      <c r="Q174" s="103"/>
      <c r="T174" s="117"/>
      <c r="U174" s="117"/>
      <c r="V174" s="117"/>
      <c r="W174" s="117"/>
      <c r="X174" s="117"/>
    </row>
    <row r="175" spans="5:29">
      <c r="E175"/>
      <c r="F175"/>
      <c r="G175"/>
    </row>
    <row r="176" spans="5:29" ht="14" thickBot="1">
      <c r="E176"/>
      <c r="F176"/>
      <c r="G176"/>
      <c r="Y176" s="103"/>
      <c r="Z176" s="103"/>
      <c r="AA176" s="103"/>
      <c r="AB176" s="103"/>
      <c r="AC176" s="103"/>
    </row>
    <row r="177" spans="5:31" ht="14" thickBot="1">
      <c r="E177"/>
      <c r="F177"/>
      <c r="G177"/>
      <c r="S177" s="242" t="s">
        <v>1143</v>
      </c>
      <c r="T177" s="242">
        <v>48000</v>
      </c>
      <c r="U177" s="243">
        <v>0.46</v>
      </c>
      <c r="V177" s="243">
        <v>0.93</v>
      </c>
      <c r="AA177" s="103"/>
      <c r="AB177" s="103"/>
      <c r="AC177" s="103"/>
      <c r="AD177" s="103"/>
      <c r="AE177" s="103"/>
    </row>
    <row r="178" spans="5:31" ht="29">
      <c r="E178"/>
      <c r="F178"/>
      <c r="G178"/>
      <c r="K178" s="131" t="s">
        <v>639</v>
      </c>
      <c r="L178" s="132" t="s">
        <v>1569</v>
      </c>
      <c r="M178" s="132" t="s">
        <v>1570</v>
      </c>
      <c r="N178" s="132" t="s">
        <v>1129</v>
      </c>
      <c r="O178" s="132" t="s">
        <v>1322</v>
      </c>
      <c r="P178" s="132" t="s">
        <v>982</v>
      </c>
      <c r="Q178" t="s">
        <v>1554</v>
      </c>
      <c r="R178" s="132" t="s">
        <v>981</v>
      </c>
      <c r="S178" s="132" t="s">
        <v>1394</v>
      </c>
      <c r="T178" s="132" t="s">
        <v>182</v>
      </c>
      <c r="U178" s="133" t="s">
        <v>183</v>
      </c>
      <c r="V178" s="213" t="s">
        <v>1117</v>
      </c>
      <c r="W178" s="213" t="s">
        <v>764</v>
      </c>
      <c r="X178" s="133" t="s">
        <v>1048</v>
      </c>
      <c r="Y178" s="132" t="s">
        <v>1377</v>
      </c>
      <c r="Z178" s="103"/>
      <c r="AA178" s="103"/>
      <c r="AB178" s="103"/>
      <c r="AC178" s="103"/>
      <c r="AD178" s="103"/>
    </row>
    <row r="179" spans="5:31">
      <c r="E179"/>
      <c r="F179"/>
      <c r="G179"/>
      <c r="K179" s="63">
        <v>34334</v>
      </c>
      <c r="L179" s="151"/>
      <c r="M179" s="152">
        <v>2014</v>
      </c>
      <c r="N179" s="152">
        <v>34584</v>
      </c>
      <c r="O179" s="152">
        <f t="shared" ref="O179:O190" si="22">M179+N179</f>
        <v>36598</v>
      </c>
      <c r="P179" s="152">
        <v>-29732</v>
      </c>
      <c r="R179" s="152"/>
      <c r="S179" s="152"/>
      <c r="T179" s="59">
        <f>-$T$177+M179*$U$177+N179*$V$177</f>
        <v>-14910.439999999995</v>
      </c>
      <c r="U179" s="59">
        <f t="shared" ref="U179:U189" si="23">P179-T179</f>
        <v>-14821.560000000005</v>
      </c>
      <c r="V179" s="97">
        <f t="shared" ref="V179:V189" si="24">U179^2</f>
        <v>219678640.83360013</v>
      </c>
      <c r="W179" s="214"/>
      <c r="X179" s="152"/>
      <c r="Y179" s="151"/>
      <c r="Z179" s="103"/>
      <c r="AA179" s="103"/>
      <c r="AB179" s="103"/>
      <c r="AC179" s="103"/>
      <c r="AD179" s="103"/>
    </row>
    <row r="180" spans="5:31">
      <c r="E180"/>
      <c r="F180"/>
      <c r="G180"/>
      <c r="K180" s="63">
        <v>34365</v>
      </c>
      <c r="L180" s="151"/>
      <c r="M180" s="152">
        <v>68521</v>
      </c>
      <c r="N180" s="152">
        <v>24149</v>
      </c>
      <c r="O180" s="152">
        <f t="shared" si="22"/>
        <v>92670</v>
      </c>
      <c r="P180" s="152">
        <v>35824</v>
      </c>
      <c r="R180" s="152"/>
      <c r="S180" s="152"/>
      <c r="T180" s="59">
        <f t="shared" ref="T180:T189" si="25">-$T$177+M180*$U$177+N180*$V$177</f>
        <v>5978.23</v>
      </c>
      <c r="U180" s="59">
        <f t="shared" si="23"/>
        <v>29845.77</v>
      </c>
      <c r="V180" s="97">
        <f t="shared" si="24"/>
        <v>890769986.89289999</v>
      </c>
      <c r="W180" s="214"/>
      <c r="X180" s="152"/>
      <c r="Y180" s="151"/>
      <c r="Z180" s="103"/>
      <c r="AA180" s="103"/>
      <c r="AB180" s="103"/>
      <c r="AC180" s="103"/>
      <c r="AD180" s="103"/>
    </row>
    <row r="181" spans="5:31">
      <c r="E181"/>
      <c r="F181"/>
      <c r="G181"/>
      <c r="K181" s="63">
        <v>34393</v>
      </c>
      <c r="L181" s="151"/>
      <c r="M181" s="152">
        <v>2184</v>
      </c>
      <c r="N181" s="152">
        <v>29633</v>
      </c>
      <c r="O181" s="152">
        <f t="shared" si="22"/>
        <v>31817</v>
      </c>
      <c r="P181" s="152">
        <v>-46775</v>
      </c>
      <c r="R181" s="152"/>
      <c r="S181" s="103">
        <f>SUM(O179:O181)</f>
        <v>161085</v>
      </c>
      <c r="T181" s="59">
        <f t="shared" si="25"/>
        <v>-19436.669999999998</v>
      </c>
      <c r="U181" s="59">
        <f t="shared" si="23"/>
        <v>-27338.33</v>
      </c>
      <c r="V181" s="97">
        <f t="shared" si="24"/>
        <v>747384287.18890011</v>
      </c>
      <c r="W181" s="214"/>
      <c r="X181" s="152"/>
      <c r="Y181" s="151"/>
      <c r="Z181" s="103"/>
      <c r="AA181" s="103"/>
      <c r="AB181" s="103"/>
    </row>
    <row r="182" spans="5:31">
      <c r="E182"/>
      <c r="F182"/>
      <c r="G182"/>
      <c r="K182" s="63">
        <v>34424</v>
      </c>
      <c r="L182" s="151"/>
      <c r="M182" s="152">
        <v>18208</v>
      </c>
      <c r="N182" s="152">
        <v>24576</v>
      </c>
      <c r="O182" s="152">
        <f t="shared" si="22"/>
        <v>42784</v>
      </c>
      <c r="P182" s="152">
        <v>-61845</v>
      </c>
      <c r="R182" s="152"/>
      <c r="S182" s="152"/>
      <c r="T182" s="59">
        <f t="shared" si="25"/>
        <v>-16768.64</v>
      </c>
      <c r="U182" s="59">
        <f t="shared" si="23"/>
        <v>-45076.36</v>
      </c>
      <c r="V182" s="97">
        <f t="shared" si="24"/>
        <v>2031878230.8496001</v>
      </c>
      <c r="W182" s="214"/>
      <c r="X182" s="152"/>
      <c r="Y182" s="151"/>
      <c r="Z182" s="103"/>
      <c r="AA182" s="103"/>
      <c r="AB182" s="103"/>
    </row>
    <row r="183" spans="5:31">
      <c r="E183"/>
      <c r="F183"/>
      <c r="G183"/>
      <c r="K183" s="63">
        <v>34454</v>
      </c>
      <c r="M183" s="103">
        <v>38419</v>
      </c>
      <c r="N183" s="103">
        <v>27838</v>
      </c>
      <c r="O183" s="152">
        <f t="shared" si="22"/>
        <v>66257</v>
      </c>
      <c r="P183" s="103">
        <v>489</v>
      </c>
      <c r="R183" s="103"/>
      <c r="S183" s="103"/>
      <c r="T183" s="59">
        <f t="shared" si="25"/>
        <v>-4437.9199999999983</v>
      </c>
      <c r="U183" s="59">
        <f t="shared" si="23"/>
        <v>4926.9199999999983</v>
      </c>
      <c r="V183" s="97">
        <f t="shared" si="24"/>
        <v>24274540.686399981</v>
      </c>
      <c r="W183" s="104"/>
    </row>
    <row r="184" spans="5:31">
      <c r="E184"/>
      <c r="F184"/>
      <c r="G184"/>
      <c r="K184" s="63">
        <v>34485</v>
      </c>
      <c r="M184" s="103">
        <v>9555</v>
      </c>
      <c r="N184" s="103">
        <v>45751</v>
      </c>
      <c r="O184" s="152">
        <f t="shared" si="22"/>
        <v>55306</v>
      </c>
      <c r="P184" s="103">
        <v>-11821</v>
      </c>
      <c r="R184" s="103"/>
      <c r="S184" s="246">
        <f>SUM(O179:O184)</f>
        <v>325432</v>
      </c>
      <c r="T184" s="59">
        <f t="shared" si="25"/>
        <v>-1056.2699999999968</v>
      </c>
      <c r="U184" s="59">
        <f t="shared" si="23"/>
        <v>-10764.730000000003</v>
      </c>
      <c r="V184" s="97">
        <f t="shared" si="24"/>
        <v>115879411.97290006</v>
      </c>
      <c r="W184" s="104"/>
    </row>
    <row r="185" spans="5:31">
      <c r="E185"/>
      <c r="F185"/>
      <c r="G185"/>
      <c r="K185" s="63">
        <v>34515</v>
      </c>
      <c r="M185" s="103">
        <v>78921</v>
      </c>
      <c r="N185" s="103">
        <v>46076</v>
      </c>
      <c r="O185" s="152">
        <f t="shared" si="22"/>
        <v>124997</v>
      </c>
      <c r="P185" s="103">
        <v>14127</v>
      </c>
      <c r="R185" s="103"/>
      <c r="S185" s="103"/>
      <c r="T185" s="59">
        <f t="shared" si="25"/>
        <v>31154.340000000004</v>
      </c>
      <c r="U185" s="59">
        <f t="shared" si="23"/>
        <v>-17027.340000000004</v>
      </c>
      <c r="V185" s="97">
        <f t="shared" si="24"/>
        <v>289930307.47560012</v>
      </c>
      <c r="W185" s="104"/>
    </row>
    <row r="186" spans="5:31">
      <c r="E186"/>
      <c r="F186"/>
      <c r="G186"/>
      <c r="K186" s="63">
        <v>34546</v>
      </c>
      <c r="M186" s="103">
        <v>32534</v>
      </c>
      <c r="N186" s="103">
        <v>18091</v>
      </c>
      <c r="O186" s="152">
        <f t="shared" si="22"/>
        <v>50625</v>
      </c>
      <c r="P186" s="103">
        <v>-46296</v>
      </c>
      <c r="R186" s="103"/>
      <c r="S186" s="103"/>
      <c r="T186" s="59">
        <f t="shared" si="25"/>
        <v>-16209.73</v>
      </c>
      <c r="U186" s="59">
        <f t="shared" si="23"/>
        <v>-30086.27</v>
      </c>
      <c r="V186" s="97">
        <f t="shared" si="24"/>
        <v>905183642.51289999</v>
      </c>
      <c r="W186" s="104"/>
    </row>
    <row r="187" spans="5:31">
      <c r="E187"/>
      <c r="F187"/>
      <c r="G187"/>
      <c r="K187" s="63">
        <v>34577</v>
      </c>
      <c r="M187" s="103">
        <v>2754</v>
      </c>
      <c r="N187" s="103">
        <v>88823</v>
      </c>
      <c r="O187" s="152">
        <f t="shared" si="22"/>
        <v>91577</v>
      </c>
      <c r="P187" s="103">
        <v>55058</v>
      </c>
      <c r="R187" s="103"/>
      <c r="S187" s="103"/>
      <c r="T187" s="59">
        <f t="shared" si="25"/>
        <v>35872.229999999996</v>
      </c>
      <c r="U187" s="59">
        <f t="shared" si="23"/>
        <v>19185.770000000004</v>
      </c>
      <c r="V187" s="97">
        <f t="shared" si="24"/>
        <v>368093770.49290013</v>
      </c>
      <c r="W187" s="104"/>
    </row>
    <row r="188" spans="5:31">
      <c r="E188"/>
      <c r="F188"/>
      <c r="G188"/>
      <c r="K188" s="63">
        <v>34607</v>
      </c>
      <c r="M188" s="103">
        <v>8004</v>
      </c>
      <c r="N188" s="103">
        <v>45290</v>
      </c>
      <c r="O188" s="152">
        <f t="shared" si="22"/>
        <v>53294</v>
      </c>
      <c r="P188" s="103">
        <v>-16982</v>
      </c>
      <c r="R188" s="103"/>
      <c r="S188" s="103"/>
      <c r="T188" s="59">
        <f t="shared" si="25"/>
        <v>-2198.4599999999991</v>
      </c>
      <c r="U188" s="59">
        <f t="shared" si="23"/>
        <v>-14783.54</v>
      </c>
      <c r="V188" s="97">
        <f t="shared" si="24"/>
        <v>218553054.93160003</v>
      </c>
      <c r="W188" s="104"/>
    </row>
    <row r="189" spans="5:31">
      <c r="E189"/>
      <c r="F189"/>
      <c r="G189"/>
      <c r="K189" s="63">
        <v>34638</v>
      </c>
      <c r="M189" s="103">
        <v>11190</v>
      </c>
      <c r="N189" s="103">
        <v>65495</v>
      </c>
      <c r="O189" s="152">
        <f t="shared" si="22"/>
        <v>76685</v>
      </c>
      <c r="P189" s="103">
        <v>29789</v>
      </c>
      <c r="R189" s="103"/>
      <c r="S189" s="103"/>
      <c r="T189" s="59">
        <f t="shared" si="25"/>
        <v>18057.750000000007</v>
      </c>
      <c r="U189" s="59">
        <f t="shared" si="23"/>
        <v>11731.249999999993</v>
      </c>
      <c r="V189" s="97">
        <f t="shared" si="24"/>
        <v>137622226.56249982</v>
      </c>
      <c r="W189" s="104"/>
    </row>
    <row r="190" spans="5:31" ht="14" thickBot="1">
      <c r="E190"/>
      <c r="F190"/>
      <c r="G190"/>
      <c r="K190" s="207">
        <v>34668</v>
      </c>
      <c r="L190" s="64"/>
      <c r="M190" s="208">
        <v>3032</v>
      </c>
      <c r="N190" s="208">
        <v>43184</v>
      </c>
      <c r="O190" s="133">
        <f t="shared" si="22"/>
        <v>46216</v>
      </c>
      <c r="P190" s="137">
        <v>-47873</v>
      </c>
      <c r="R190" s="137"/>
      <c r="S190" s="64"/>
      <c r="T190" s="59"/>
      <c r="U190" s="284"/>
      <c r="V190" s="215"/>
      <c r="W190" s="216"/>
      <c r="X190" s="64"/>
      <c r="Y190" s="64"/>
    </row>
    <row r="191" spans="5:31">
      <c r="E191"/>
      <c r="F191"/>
      <c r="G191"/>
      <c r="K191" s="63">
        <v>34699</v>
      </c>
      <c r="L191" s="103"/>
      <c r="M191" s="103">
        <f>17171+L191/2</f>
        <v>17171</v>
      </c>
      <c r="N191" s="103">
        <f>36079+L191/2</f>
        <v>36079</v>
      </c>
      <c r="O191" s="152">
        <f t="shared" ref="O191:O207" si="26">M191+N191</f>
        <v>53250</v>
      </c>
      <c r="P191" s="210">
        <v>-667</v>
      </c>
      <c r="R191" s="137"/>
      <c r="S191" s="152"/>
      <c r="T191" s="59">
        <f t="shared" ref="T191:T205" si="27">-$T$177+M191*$U$177+N191*$V$177</f>
        <v>-6547.8699999999953</v>
      </c>
      <c r="U191" s="59">
        <f t="shared" ref="U191:U202" si="28">P191-T191</f>
        <v>5880.8699999999953</v>
      </c>
      <c r="V191" s="97">
        <f>U191^2</f>
        <v>34584631.956899948</v>
      </c>
      <c r="W191" s="59"/>
      <c r="X191" s="103">
        <f>0.41*M191</f>
        <v>7040.11</v>
      </c>
      <c r="Y191" s="103">
        <f>M191*0.21</f>
        <v>3605.91</v>
      </c>
    </row>
    <row r="192" spans="5:31">
      <c r="E192"/>
      <c r="F192"/>
      <c r="G192"/>
      <c r="K192" s="63">
        <v>34730</v>
      </c>
      <c r="L192" s="103"/>
      <c r="M192" s="103">
        <v>16649</v>
      </c>
      <c r="N192" s="103">
        <v>18149</v>
      </c>
      <c r="O192" s="152">
        <f t="shared" si="26"/>
        <v>34798</v>
      </c>
      <c r="P192" s="211">
        <v>-31555</v>
      </c>
      <c r="R192" s="137"/>
      <c r="S192" s="152"/>
      <c r="T192" s="59">
        <f t="shared" si="27"/>
        <v>-23462.89</v>
      </c>
      <c r="U192" s="59">
        <f t="shared" si="28"/>
        <v>-8092.1100000000006</v>
      </c>
      <c r="V192" s="97">
        <f t="shared" ref="V192:V210" si="29">U192^2</f>
        <v>65482244.252100006</v>
      </c>
      <c r="W192" s="59"/>
      <c r="X192" s="103">
        <f>0.41*M192</f>
        <v>6826.0899999999992</v>
      </c>
      <c r="Y192" s="103">
        <f>M192*0.21</f>
        <v>3496.29</v>
      </c>
    </row>
    <row r="193" spans="5:38">
      <c r="E193"/>
      <c r="F193"/>
      <c r="G193"/>
      <c r="K193" s="63">
        <v>34758</v>
      </c>
      <c r="L193" s="103"/>
      <c r="M193" s="103">
        <v>8026</v>
      </c>
      <c r="N193" s="103">
        <v>48468</v>
      </c>
      <c r="O193" s="152">
        <f t="shared" si="26"/>
        <v>56494</v>
      </c>
      <c r="P193" s="211">
        <v>5614</v>
      </c>
      <c r="R193" s="137"/>
      <c r="S193" s="103">
        <f>SUM(O191:O193)</f>
        <v>144542</v>
      </c>
      <c r="T193" s="59">
        <f t="shared" si="27"/>
        <v>767.20000000000437</v>
      </c>
      <c r="U193" s="59">
        <f t="shared" si="28"/>
        <v>4846.7999999999956</v>
      </c>
      <c r="V193" s="97">
        <f t="shared" si="29"/>
        <v>23491470.239999957</v>
      </c>
      <c r="W193" s="59"/>
      <c r="X193" s="103">
        <f>0.41*M193</f>
        <v>3290.66</v>
      </c>
      <c r="Y193" s="103">
        <f>M193*0.21</f>
        <v>1685.46</v>
      </c>
    </row>
    <row r="194" spans="5:38">
      <c r="E194"/>
      <c r="F194"/>
      <c r="G194"/>
      <c r="K194" s="63">
        <v>34789</v>
      </c>
      <c r="L194" s="103">
        <v>18573</v>
      </c>
      <c r="M194" s="103">
        <f>14928+L194</f>
        <v>33501</v>
      </c>
      <c r="N194" s="103">
        <f>33303</f>
        <v>33303</v>
      </c>
      <c r="O194" s="152">
        <f t="shared" si="26"/>
        <v>66804</v>
      </c>
      <c r="P194" s="211">
        <v>-5828</v>
      </c>
      <c r="R194" s="137"/>
      <c r="S194" s="152"/>
      <c r="T194" s="59">
        <f t="shared" si="27"/>
        <v>-1617.75</v>
      </c>
      <c r="U194" s="59">
        <f t="shared" si="28"/>
        <v>-4210.25</v>
      </c>
      <c r="V194" s="97">
        <f t="shared" si="29"/>
        <v>17726205.0625</v>
      </c>
      <c r="W194" s="59"/>
      <c r="X194" s="103">
        <f>0.41*M194</f>
        <v>13735.41</v>
      </c>
      <c r="Y194" s="103">
        <f>M194*0.21</f>
        <v>7035.21</v>
      </c>
    </row>
    <row r="195" spans="5:38">
      <c r="E195"/>
      <c r="F195"/>
      <c r="G195"/>
      <c r="K195" s="63">
        <v>34819</v>
      </c>
      <c r="L195" s="103">
        <v>-1039</v>
      </c>
      <c r="M195" s="103">
        <f>19051+L195/2</f>
        <v>18531.5</v>
      </c>
      <c r="N195" s="103">
        <f>40996+L195/2</f>
        <v>40476.5</v>
      </c>
      <c r="O195" s="152">
        <f t="shared" si="26"/>
        <v>59008</v>
      </c>
      <c r="P195" s="211">
        <v>-2117</v>
      </c>
      <c r="R195" s="137"/>
      <c r="S195" s="152"/>
      <c r="T195" s="59">
        <f t="shared" si="27"/>
        <v>-1832.364999999998</v>
      </c>
      <c r="U195" s="59">
        <f t="shared" si="28"/>
        <v>-284.63500000000204</v>
      </c>
      <c r="V195" s="97">
        <f t="shared" si="29"/>
        <v>81017.083225001159</v>
      </c>
      <c r="W195" s="59"/>
      <c r="X195" s="103">
        <f>0.41*M195</f>
        <v>7597.915</v>
      </c>
      <c r="Y195" s="103">
        <f>M195*0.21</f>
        <v>3891.6149999999998</v>
      </c>
    </row>
    <row r="196" spans="5:38">
      <c r="E196"/>
      <c r="F196"/>
      <c r="G196"/>
      <c r="K196" s="63">
        <v>34850</v>
      </c>
      <c r="L196" s="103"/>
      <c r="M196" s="103">
        <v>28643</v>
      </c>
      <c r="N196" s="103">
        <f>22942+10904</f>
        <v>33846</v>
      </c>
      <c r="O196" s="152">
        <f t="shared" si="26"/>
        <v>62489</v>
      </c>
      <c r="P196" s="211">
        <v>-6848</v>
      </c>
      <c r="R196" s="137"/>
      <c r="S196" s="246">
        <f>SUM(O191:O196)</f>
        <v>332843</v>
      </c>
      <c r="T196" s="59">
        <f t="shared" si="27"/>
        <v>-3347.4399999999987</v>
      </c>
      <c r="U196" s="59">
        <f t="shared" si="28"/>
        <v>-3500.5600000000013</v>
      </c>
      <c r="V196" s="97">
        <f t="shared" si="29"/>
        <v>12253920.313600009</v>
      </c>
      <c r="W196" s="59"/>
      <c r="X196" s="103">
        <f t="shared" ref="X196:X202" si="30">0.41*M196</f>
        <v>11743.63</v>
      </c>
      <c r="Y196" s="103">
        <f t="shared" ref="Y196:Y202" si="31">M196*0.21</f>
        <v>6015.03</v>
      </c>
    </row>
    <row r="197" spans="5:38">
      <c r="E197"/>
      <c r="F197"/>
      <c r="G197"/>
      <c r="K197" s="63">
        <v>34880</v>
      </c>
      <c r="L197" s="103">
        <v>649</v>
      </c>
      <c r="M197" s="103">
        <f>15248+L197</f>
        <v>15897</v>
      </c>
      <c r="N197" s="103">
        <f>26401+5781</f>
        <v>32182</v>
      </c>
      <c r="O197" s="152">
        <f t="shared" si="26"/>
        <v>48079</v>
      </c>
      <c r="P197" s="211">
        <v>4544</v>
      </c>
      <c r="R197" s="137"/>
      <c r="S197" s="152"/>
      <c r="T197" s="59">
        <f t="shared" si="27"/>
        <v>-10758.119999999995</v>
      </c>
      <c r="U197" s="59">
        <f t="shared" si="28"/>
        <v>15302.119999999995</v>
      </c>
      <c r="V197" s="97">
        <f t="shared" si="29"/>
        <v>234154876.49439985</v>
      </c>
      <c r="W197" s="59"/>
      <c r="X197" s="103">
        <f t="shared" si="30"/>
        <v>6517.7699999999995</v>
      </c>
      <c r="Y197" s="103">
        <f t="shared" si="31"/>
        <v>3338.37</v>
      </c>
    </row>
    <row r="198" spans="5:38">
      <c r="E198"/>
      <c r="F198"/>
      <c r="G198"/>
      <c r="K198" s="63">
        <v>34911</v>
      </c>
      <c r="L198" s="103">
        <v>-286</v>
      </c>
      <c r="M198" s="103">
        <f>23070+L198</f>
        <v>22784</v>
      </c>
      <c r="N198" s="103">
        <f>15083+7974</f>
        <v>23057</v>
      </c>
      <c r="O198" s="152">
        <f t="shared" si="26"/>
        <v>45841</v>
      </c>
      <c r="P198" s="211">
        <v>-9219</v>
      </c>
      <c r="R198" s="137"/>
      <c r="S198" s="152"/>
      <c r="T198" s="59">
        <f t="shared" si="27"/>
        <v>-16076.349999999999</v>
      </c>
      <c r="U198" s="59">
        <f t="shared" si="28"/>
        <v>6857.3499999999985</v>
      </c>
      <c r="V198" s="97">
        <f t="shared" si="29"/>
        <v>47023249.022499979</v>
      </c>
      <c r="W198" s="59"/>
      <c r="X198" s="103">
        <f t="shared" si="30"/>
        <v>9341.4399999999987</v>
      </c>
      <c r="Y198" s="103">
        <f t="shared" si="31"/>
        <v>4784.6399999999994</v>
      </c>
    </row>
    <row r="199" spans="5:38">
      <c r="E199"/>
      <c r="F199"/>
      <c r="G199"/>
      <c r="K199" s="63">
        <v>34942</v>
      </c>
      <c r="L199" s="103">
        <v>-17677</v>
      </c>
      <c r="M199" s="103">
        <f>25914+L199</f>
        <v>8237</v>
      </c>
      <c r="N199" s="103">
        <f>32421+1141</f>
        <v>33562</v>
      </c>
      <c r="O199" s="152">
        <f t="shared" si="26"/>
        <v>41799</v>
      </c>
      <c r="P199" s="211">
        <v>-44186</v>
      </c>
      <c r="R199" s="137"/>
      <c r="S199" s="152"/>
      <c r="T199" s="59">
        <f t="shared" si="27"/>
        <v>-12998.320000000003</v>
      </c>
      <c r="U199" s="59">
        <f t="shared" si="28"/>
        <v>-31187.679999999997</v>
      </c>
      <c r="V199" s="97">
        <f t="shared" si="29"/>
        <v>972671383.78239977</v>
      </c>
      <c r="W199" s="59"/>
      <c r="X199" s="103">
        <f t="shared" si="30"/>
        <v>3377.1699999999996</v>
      </c>
      <c r="Y199" s="103">
        <f t="shared" si="31"/>
        <v>1729.77</v>
      </c>
    </row>
    <row r="200" spans="5:38">
      <c r="E200"/>
      <c r="F200"/>
      <c r="G200"/>
      <c r="K200" s="63">
        <v>34972</v>
      </c>
      <c r="L200" s="103"/>
      <c r="M200" s="103">
        <v>0</v>
      </c>
      <c r="N200" s="103">
        <f>31815+4701</f>
        <v>36516</v>
      </c>
      <c r="O200" s="152">
        <f t="shared" si="26"/>
        <v>36516</v>
      </c>
      <c r="P200" s="211">
        <v>-31914</v>
      </c>
      <c r="R200" s="137"/>
      <c r="S200" s="152"/>
      <c r="T200" s="59">
        <f t="shared" si="27"/>
        <v>-14040.119999999995</v>
      </c>
      <c r="U200" s="59">
        <f t="shared" si="28"/>
        <v>-17873.880000000005</v>
      </c>
      <c r="V200" s="97">
        <f t="shared" si="29"/>
        <v>319475586.25440019</v>
      </c>
      <c r="W200" s="59"/>
      <c r="X200" s="103">
        <f t="shared" si="30"/>
        <v>0</v>
      </c>
      <c r="Y200" s="103">
        <f t="shared" si="31"/>
        <v>0</v>
      </c>
    </row>
    <row r="201" spans="5:38">
      <c r="E201"/>
      <c r="F201"/>
      <c r="G201"/>
      <c r="K201" s="63">
        <v>35003</v>
      </c>
      <c r="L201" s="103">
        <v>19874</v>
      </c>
      <c r="M201" s="103">
        <f>3577+L201</f>
        <v>23451</v>
      </c>
      <c r="N201" s="103">
        <f>41099+2494</f>
        <v>43593</v>
      </c>
      <c r="O201" s="152">
        <f t="shared" si="26"/>
        <v>67044</v>
      </c>
      <c r="P201" s="211">
        <v>-12325</v>
      </c>
      <c r="R201" s="137"/>
      <c r="S201" s="152"/>
      <c r="T201" s="59">
        <f t="shared" si="27"/>
        <v>3328.9500000000044</v>
      </c>
      <c r="U201" s="59">
        <f t="shared" si="28"/>
        <v>-15653.950000000004</v>
      </c>
      <c r="V201" s="97">
        <f t="shared" si="29"/>
        <v>245046150.60250014</v>
      </c>
      <c r="W201" s="59"/>
      <c r="X201" s="103">
        <f t="shared" si="30"/>
        <v>9614.91</v>
      </c>
      <c r="Y201" s="103">
        <f t="shared" si="31"/>
        <v>4924.71</v>
      </c>
    </row>
    <row r="202" spans="5:38" ht="14" thickBot="1">
      <c r="K202" s="207">
        <v>35033</v>
      </c>
      <c r="L202" s="208">
        <v>-19874</v>
      </c>
      <c r="M202" s="208">
        <f>90959+L202</f>
        <v>71085</v>
      </c>
      <c r="N202" s="208">
        <f>27300+5210</f>
        <v>32510</v>
      </c>
      <c r="O202" s="133">
        <f t="shared" si="26"/>
        <v>103595</v>
      </c>
      <c r="P202" s="212">
        <v>26471</v>
      </c>
      <c r="R202" s="137"/>
      <c r="S202" s="133"/>
      <c r="T202" s="59">
        <f t="shared" si="27"/>
        <v>14933.400000000005</v>
      </c>
      <c r="U202" s="101">
        <f t="shared" si="28"/>
        <v>11537.599999999995</v>
      </c>
      <c r="V202" s="215">
        <f t="shared" si="29"/>
        <v>133116213.75999989</v>
      </c>
      <c r="W202" s="101"/>
      <c r="X202" s="208">
        <f t="shared" si="30"/>
        <v>29144.85</v>
      </c>
      <c r="Y202" s="208">
        <f t="shared" si="31"/>
        <v>14927.849999999999</v>
      </c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</row>
    <row r="203" spans="5:38">
      <c r="K203" s="63">
        <v>35064</v>
      </c>
      <c r="L203" s="103"/>
      <c r="M203" s="103">
        <v>27298</v>
      </c>
      <c r="N203" s="103">
        <f>25076+2968</f>
        <v>28044</v>
      </c>
      <c r="O203" s="152">
        <f t="shared" si="26"/>
        <v>55342</v>
      </c>
      <c r="P203" s="103">
        <v>-11159</v>
      </c>
      <c r="Q203" s="59">
        <v>5921</v>
      </c>
      <c r="R203" s="59">
        <f>P203+Q203</f>
        <v>-5238</v>
      </c>
      <c r="S203" s="103"/>
      <c r="T203" s="59">
        <f t="shared" si="27"/>
        <v>-9361.9999999999964</v>
      </c>
      <c r="U203" s="59">
        <f>R203-T203</f>
        <v>4123.9999999999964</v>
      </c>
      <c r="V203" s="97">
        <f t="shared" si="29"/>
        <v>17007375.99999997</v>
      </c>
      <c r="W203" s="59"/>
      <c r="X203" s="103">
        <f t="shared" ref="X203:X208" si="32">0.41*M203</f>
        <v>11192.179999999998</v>
      </c>
      <c r="Y203" s="103">
        <f t="shared" ref="Y203:Y208" si="33">M203*0.21</f>
        <v>5732.58</v>
      </c>
    </row>
    <row r="204" spans="5:38">
      <c r="K204" s="63">
        <v>35095</v>
      </c>
      <c r="M204" s="103">
        <v>23048</v>
      </c>
      <c r="N204" s="103">
        <f>35581+2244</f>
        <v>37825</v>
      </c>
      <c r="O204" s="152">
        <f t="shared" si="26"/>
        <v>60873</v>
      </c>
      <c r="P204" s="103">
        <v>-3968</v>
      </c>
      <c r="Q204" s="59">
        <v>836</v>
      </c>
      <c r="R204" s="59">
        <f t="shared" ref="R204:R210" si="34">P204+Q204</f>
        <v>-3132</v>
      </c>
      <c r="S204" s="103"/>
      <c r="T204" s="59">
        <f t="shared" si="27"/>
        <v>-2220.6699999999983</v>
      </c>
      <c r="U204" s="59">
        <f t="shared" ref="U204:U212" si="35">R204-T204</f>
        <v>-911.33000000000175</v>
      </c>
      <c r="V204" s="97">
        <f t="shared" si="29"/>
        <v>830522.36890000314</v>
      </c>
      <c r="W204" s="59"/>
      <c r="X204" s="103">
        <f t="shared" si="32"/>
        <v>9449.68</v>
      </c>
      <c r="Y204" s="103">
        <f t="shared" si="33"/>
        <v>4840.08</v>
      </c>
    </row>
    <row r="205" spans="5:38">
      <c r="K205" s="63">
        <v>35124</v>
      </c>
      <c r="M205" s="103">
        <v>19235</v>
      </c>
      <c r="N205" s="103">
        <f>40689+10101</f>
        <v>50790</v>
      </c>
      <c r="O205" s="152">
        <f t="shared" si="26"/>
        <v>70025</v>
      </c>
      <c r="P205" s="103">
        <v>7277</v>
      </c>
      <c r="Q205" s="59">
        <v>2587</v>
      </c>
      <c r="R205" s="59">
        <f t="shared" si="34"/>
        <v>9864</v>
      </c>
      <c r="S205" s="103">
        <f>SUM(O203:O205)</f>
        <v>186240</v>
      </c>
      <c r="T205" s="59">
        <f t="shared" si="27"/>
        <v>8082.8000000000029</v>
      </c>
      <c r="U205" s="59">
        <f t="shared" si="35"/>
        <v>1781.1999999999971</v>
      </c>
      <c r="V205" s="97">
        <f t="shared" si="29"/>
        <v>3172673.4399999897</v>
      </c>
      <c r="W205" s="59"/>
      <c r="X205" s="103">
        <f t="shared" si="32"/>
        <v>7886.3499999999995</v>
      </c>
      <c r="Y205" s="103">
        <f t="shared" si="33"/>
        <v>4039.35</v>
      </c>
      <c r="AA205" t="s">
        <v>490</v>
      </c>
      <c r="AB205" t="s">
        <v>404</v>
      </c>
    </row>
    <row r="206" spans="5:38" ht="14" thickBot="1">
      <c r="K206" s="63">
        <v>35155</v>
      </c>
      <c r="M206" s="103">
        <v>22714</v>
      </c>
      <c r="N206" s="103">
        <f>36811+855+1362+23838</f>
        <v>62866</v>
      </c>
      <c r="O206" s="152">
        <f t="shared" si="26"/>
        <v>85580</v>
      </c>
      <c r="P206" s="103">
        <v>6783</v>
      </c>
      <c r="Q206" s="59">
        <v>8042</v>
      </c>
      <c r="R206" s="59">
        <f t="shared" si="34"/>
        <v>14825</v>
      </c>
      <c r="S206" s="117"/>
      <c r="T206" s="59">
        <f>-$T$177+M206*$U$177+N206*$V$177</f>
        <v>20913.820000000007</v>
      </c>
      <c r="U206" s="59">
        <f t="shared" si="35"/>
        <v>-6088.820000000007</v>
      </c>
      <c r="V206" s="97">
        <f t="shared" si="29"/>
        <v>37073728.992400087</v>
      </c>
      <c r="X206" s="103">
        <f t="shared" si="32"/>
        <v>9312.74</v>
      </c>
      <c r="Y206" s="103">
        <f t="shared" si="33"/>
        <v>4769.9399999999996</v>
      </c>
      <c r="AA206" s="103"/>
      <c r="AB206" s="103"/>
    </row>
    <row r="207" spans="5:38" ht="14" thickBot="1">
      <c r="K207" s="63">
        <v>35185</v>
      </c>
      <c r="M207" s="103">
        <f>64591+14048-23838</f>
        <v>54801</v>
      </c>
      <c r="N207" s="103">
        <f>35061</f>
        <v>35061</v>
      </c>
      <c r="O207" s="152">
        <f t="shared" si="26"/>
        <v>89862</v>
      </c>
      <c r="P207" s="249">
        <v>39838</v>
      </c>
      <c r="Q207" s="59">
        <v>-2696</v>
      </c>
      <c r="R207" s="59">
        <f t="shared" si="34"/>
        <v>37142</v>
      </c>
      <c r="S207" s="246"/>
      <c r="T207" s="283">
        <f>-$T$177+M207*$U$177+N207*$V$177</f>
        <v>9815.190000000006</v>
      </c>
      <c r="U207" s="59">
        <f t="shared" si="35"/>
        <v>27326.809999999994</v>
      </c>
      <c r="V207" s="247">
        <f t="shared" si="29"/>
        <v>746754544.77609968</v>
      </c>
      <c r="X207" s="103">
        <f t="shared" si="32"/>
        <v>22468.41</v>
      </c>
      <c r="Y207" s="103">
        <f t="shared" si="33"/>
        <v>11508.21</v>
      </c>
      <c r="AA207" s="103">
        <v>82222.222222222219</v>
      </c>
      <c r="AB207" s="103">
        <v>15088</v>
      </c>
    </row>
    <row r="208" spans="5:38">
      <c r="K208" s="63">
        <v>35216</v>
      </c>
      <c r="M208" s="103">
        <f>7032/7</f>
        <v>1004.5714285714286</v>
      </c>
      <c r="N208" s="103">
        <f>(374570+26030)/7</f>
        <v>57228.571428571428</v>
      </c>
      <c r="O208" s="152">
        <f>M208+N208</f>
        <v>58233.142857142855</v>
      </c>
      <c r="P208" s="248">
        <v>-2324</v>
      </c>
      <c r="Q208" s="59">
        <v>-4619</v>
      </c>
      <c r="R208" s="59">
        <f t="shared" si="34"/>
        <v>-6943</v>
      </c>
      <c r="S208" s="246">
        <f>SUM(O203:O208)</f>
        <v>419915.14285714284</v>
      </c>
      <c r="T208" s="283">
        <f>-$T$177+M208*$U$177+N208*$V$177</f>
        <v>5684.6742857142817</v>
      </c>
      <c r="U208" s="59">
        <f t="shared" si="35"/>
        <v>-12627.674285714282</v>
      </c>
      <c r="V208" s="247">
        <f t="shared" si="29"/>
        <v>159458157.8660897</v>
      </c>
      <c r="X208" s="103">
        <f t="shared" si="32"/>
        <v>411.87428571428569</v>
      </c>
      <c r="Y208" s="103">
        <f t="shared" si="33"/>
        <v>210.95999999999998</v>
      </c>
      <c r="AA208" s="103">
        <v>80000</v>
      </c>
      <c r="AB208" s="103">
        <v>16187.555555555555</v>
      </c>
    </row>
    <row r="209" spans="11:28">
      <c r="K209" s="63">
        <v>35246</v>
      </c>
      <c r="M209" s="103">
        <v>17414</v>
      </c>
      <c r="N209">
        <f>36643+9911</f>
        <v>46554</v>
      </c>
      <c r="O209" s="152">
        <f>M209+N209</f>
        <v>63968</v>
      </c>
      <c r="P209" s="103">
        <v>13344</v>
      </c>
      <c r="Q209" s="59">
        <v>6299</v>
      </c>
      <c r="R209" s="59">
        <f t="shared" si="34"/>
        <v>19643</v>
      </c>
      <c r="S209" s="246">
        <f>SUM(O204:O209)</f>
        <v>428541.14285714284</v>
      </c>
      <c r="T209" s="283">
        <f>-$T$177+M209*$U$177+N209*$V$177</f>
        <v>3305.6600000000035</v>
      </c>
      <c r="U209" s="59">
        <f t="shared" si="35"/>
        <v>16337.339999999997</v>
      </c>
      <c r="V209" s="247">
        <f t="shared" si="29"/>
        <v>266908678.2755999</v>
      </c>
      <c r="AA209" s="103">
        <v>44444.444444444445</v>
      </c>
      <c r="AB209" s="103">
        <v>-3712</v>
      </c>
    </row>
    <row r="210" spans="11:28">
      <c r="K210" s="63">
        <v>35277</v>
      </c>
      <c r="M210" s="103">
        <v>510</v>
      </c>
      <c r="N210">
        <v>18762</v>
      </c>
      <c r="O210" s="152">
        <f>M210+N210</f>
        <v>19272</v>
      </c>
      <c r="P210" s="103">
        <v>-45930</v>
      </c>
      <c r="Q210" s="59">
        <v>6776</v>
      </c>
      <c r="R210" s="59">
        <f t="shared" si="34"/>
        <v>-39154</v>
      </c>
      <c r="S210" s="246">
        <f>SUM(O205:O210)</f>
        <v>386940.14285714284</v>
      </c>
      <c r="T210" s="283">
        <f>-$T$177+M210*$U$177+N210*$V$177</f>
        <v>-30316.74</v>
      </c>
      <c r="U210" s="59">
        <f t="shared" si="35"/>
        <v>-8837.2599999999984</v>
      </c>
      <c r="V210" s="247">
        <f t="shared" si="29"/>
        <v>78097164.307599977</v>
      </c>
      <c r="AA210" s="103">
        <v>64444.444444444445</v>
      </c>
      <c r="AB210" s="103">
        <v>3432</v>
      </c>
    </row>
    <row r="211" spans="11:28">
      <c r="K211" s="63">
        <v>35308</v>
      </c>
      <c r="O211" s="250">
        <v>133000</v>
      </c>
      <c r="P211" s="294">
        <v>60000</v>
      </c>
      <c r="S211" s="103"/>
      <c r="T211" s="285"/>
      <c r="U211" s="59">
        <f t="shared" si="35"/>
        <v>0</v>
      </c>
      <c r="V211" s="104"/>
    </row>
    <row r="212" spans="11:28">
      <c r="K212" s="63">
        <v>35338</v>
      </c>
      <c r="R212" s="103"/>
      <c r="S212" s="246">
        <f>SUM(O207:O217)</f>
        <v>848218.28571428568</v>
      </c>
      <c r="T212" s="283">
        <f>-$T$177*7+M217*$U$177+N217*$V$177</f>
        <v>36219.47428571427</v>
      </c>
      <c r="U212" s="59">
        <f t="shared" si="35"/>
        <v>-36219.47428571427</v>
      </c>
      <c r="V212" s="247">
        <f>U212^2</f>
        <v>1311850317.5335171</v>
      </c>
    </row>
    <row r="213" spans="11:28">
      <c r="K213" s="63">
        <v>35369</v>
      </c>
      <c r="T213" s="285"/>
      <c r="U213" s="285"/>
      <c r="V213" s="104"/>
    </row>
    <row r="214" spans="11:28">
      <c r="K214" s="63">
        <v>35399</v>
      </c>
      <c r="R214" s="137"/>
      <c r="T214" s="285"/>
      <c r="U214" s="101">
        <f>AVERAGE(T179:T202)</f>
        <v>-2417.7067391304317</v>
      </c>
      <c r="V214" s="97">
        <f>(AVERAGE(V179:V205))^0.5</f>
        <v>17623.591728826301</v>
      </c>
    </row>
    <row r="215" spans="11:28">
      <c r="T215" s="153"/>
      <c r="U215" s="153"/>
    </row>
    <row r="216" spans="11:28">
      <c r="K216" s="63" t="s">
        <v>1267</v>
      </c>
    </row>
    <row r="217" spans="11:28">
      <c r="K217" s="63"/>
      <c r="M217" s="103">
        <f>SUM(M203:M209)</f>
        <v>165514.57142857142</v>
      </c>
      <c r="N217" s="103">
        <f>SUM(N203:N209)</f>
        <v>318368.57142857142</v>
      </c>
      <c r="O217" s="103">
        <f>SUM(O203:O209)</f>
        <v>483883.14285714284</v>
      </c>
      <c r="P217" s="103">
        <f>SUM(P203:P209)</f>
        <v>49791</v>
      </c>
    </row>
    <row r="218" spans="11:28">
      <c r="K218" s="63" t="s">
        <v>1257</v>
      </c>
    </row>
  </sheetData>
  <mergeCells count="1">
    <mergeCell ref="S114:T114"/>
  </mergeCells>
  <printOptions gridLines="1" gridLinesSet="0"/>
  <pageMargins left="0.75" right="0.75" top="1" bottom="1" header="0.5" footer="0.5"/>
  <headerFooter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pageSetUpPr fitToPage="1"/>
  </sheetPr>
  <dimension ref="A1:G34"/>
  <sheetViews>
    <sheetView topLeftCell="A14" workbookViewId="0">
      <selection activeCell="F53" sqref="E50:F53"/>
    </sheetView>
  </sheetViews>
  <sheetFormatPr baseColWidth="10" defaultRowHeight="13" x14ac:dyDescent="0"/>
  <cols>
    <col min="1" max="1" width="15.140625" customWidth="1"/>
    <col min="2" max="2" width="12.85546875" customWidth="1"/>
    <col min="3" max="3" width="11.85546875" bestFit="1" customWidth="1"/>
  </cols>
  <sheetData>
    <row r="1" spans="1:7" ht="40" customHeight="1">
      <c r="A1" s="546" t="s">
        <v>1125</v>
      </c>
    </row>
    <row r="2" spans="1:7" ht="40" customHeight="1">
      <c r="A2" s="812" t="s">
        <v>1608</v>
      </c>
      <c r="B2" s="812"/>
      <c r="C2" s="812"/>
      <c r="D2" s="812"/>
      <c r="E2" s="812"/>
      <c r="F2" s="812"/>
      <c r="G2" s="201"/>
    </row>
    <row r="3" spans="1:7" ht="20" customHeight="1"/>
    <row r="4" spans="1:7" ht="40" customHeight="1">
      <c r="A4" s="812" t="s">
        <v>1436</v>
      </c>
      <c r="B4" s="812"/>
      <c r="C4" s="812"/>
      <c r="D4" s="812"/>
      <c r="E4" s="812"/>
      <c r="F4" s="812"/>
    </row>
    <row r="5" spans="1:7" ht="17" customHeight="1"/>
    <row r="6" spans="1:7" ht="40" customHeight="1">
      <c r="A6" s="812" t="s">
        <v>1401</v>
      </c>
      <c r="B6" s="812"/>
      <c r="C6" s="812"/>
      <c r="D6" s="812"/>
      <c r="E6" s="812"/>
      <c r="F6" s="812"/>
    </row>
    <row r="7" spans="1:7" ht="14" customHeight="1"/>
    <row r="8" spans="1:7" ht="71" customHeight="1">
      <c r="A8" s="812" t="s">
        <v>810</v>
      </c>
      <c r="B8" s="812"/>
      <c r="C8" s="812"/>
      <c r="D8" s="812"/>
      <c r="E8" s="812"/>
      <c r="F8" s="812"/>
    </row>
    <row r="9" spans="1:7" ht="24" customHeight="1"/>
    <row r="10" spans="1:7" ht="40" customHeight="1">
      <c r="A10" s="812" t="s">
        <v>1161</v>
      </c>
      <c r="B10" s="812"/>
      <c r="C10" s="812"/>
      <c r="D10" s="812"/>
      <c r="E10" s="812"/>
      <c r="F10" s="812"/>
    </row>
    <row r="12" spans="1:7">
      <c r="A12" t="s">
        <v>1162</v>
      </c>
    </row>
    <row r="15" spans="1:7">
      <c r="A15" t="s">
        <v>1163</v>
      </c>
    </row>
    <row r="17" spans="1:6" ht="31" customHeight="1">
      <c r="A17" s="812" t="s">
        <v>695</v>
      </c>
      <c r="B17" s="812"/>
      <c r="C17" s="812"/>
      <c r="D17" s="812"/>
      <c r="E17" s="812"/>
      <c r="F17" s="812"/>
    </row>
    <row r="20" spans="1:6" ht="26">
      <c r="B20" s="545" t="s">
        <v>1165</v>
      </c>
      <c r="C20" s="252">
        <v>2000</v>
      </c>
      <c r="D20" s="252">
        <v>1999</v>
      </c>
    </row>
    <row r="22" spans="1:6">
      <c r="A22" t="s">
        <v>1164</v>
      </c>
      <c r="B22" s="103">
        <f>351850+11795</f>
        <v>363645</v>
      </c>
      <c r="C22" s="103">
        <v>250311</v>
      </c>
      <c r="D22" s="103">
        <v>266271</v>
      </c>
    </row>
    <row r="23" spans="1:6">
      <c r="A23" s="155" t="s">
        <v>524</v>
      </c>
      <c r="B23" s="117">
        <f>B22/C22-1</f>
        <v>0.45277275069813161</v>
      </c>
      <c r="C23" s="117">
        <f>C22/D22-1</f>
        <v>-5.9938934393906962E-2</v>
      </c>
      <c r="D23" s="103"/>
    </row>
    <row r="24" spans="1:6">
      <c r="A24" s="155" t="s">
        <v>524</v>
      </c>
      <c r="B24" s="117">
        <f>(B22/D22-1)/2</f>
        <v>0.18284755005239028</v>
      </c>
      <c r="C24" s="117"/>
      <c r="D24" s="103"/>
    </row>
    <row r="25" spans="1:6">
      <c r="B25" s="103"/>
      <c r="C25" s="117"/>
      <c r="D25" s="103"/>
    </row>
    <row r="26" spans="1:6">
      <c r="A26" t="s">
        <v>641</v>
      </c>
      <c r="B26" s="103">
        <f>86109-4976</f>
        <v>81133</v>
      </c>
      <c r="C26" s="103">
        <v>46463</v>
      </c>
      <c r="D26" s="103">
        <v>68404</v>
      </c>
    </row>
    <row r="27" spans="1:6">
      <c r="A27" s="155" t="s">
        <v>524</v>
      </c>
      <c r="B27" s="117">
        <f>B26/C26-1</f>
        <v>0.74618513656027385</v>
      </c>
      <c r="C27" s="117">
        <f>C26/D26-1</f>
        <v>-0.320756096134729</v>
      </c>
      <c r="D27" s="103"/>
    </row>
    <row r="28" spans="1:6">
      <c r="A28" s="155" t="s">
        <v>524</v>
      </c>
      <c r="B28" s="117">
        <f>(B26/D26-1)/2</f>
        <v>9.304280451435587E-2</v>
      </c>
      <c r="C28" s="103"/>
      <c r="D28" s="103"/>
    </row>
    <row r="29" spans="1:6">
      <c r="A29" s="155"/>
      <c r="B29" s="103"/>
      <c r="C29" s="103"/>
      <c r="D29" s="103"/>
    </row>
    <row r="30" spans="1:6">
      <c r="A30" t="s">
        <v>525</v>
      </c>
      <c r="B30" s="103">
        <f>B22*10</f>
        <v>3636450</v>
      </c>
      <c r="C30" s="103">
        <f>C22*10</f>
        <v>2503110</v>
      </c>
      <c r="D30" s="103">
        <f>D22*10</f>
        <v>2662710</v>
      </c>
    </row>
    <row r="33" spans="1:1">
      <c r="A33" t="s">
        <v>739</v>
      </c>
    </row>
    <row r="34" spans="1:1">
      <c r="A34" t="s">
        <v>738</v>
      </c>
    </row>
  </sheetData>
  <mergeCells count="6">
    <mergeCell ref="A17:F17"/>
    <mergeCell ref="A2:F2"/>
    <mergeCell ref="A4:F4"/>
    <mergeCell ref="A6:F6"/>
    <mergeCell ref="A8:F8"/>
    <mergeCell ref="A10:F10"/>
  </mergeCells>
  <pageMargins left="0.75" right="0.75" top="1" bottom="1" header="0.5" footer="0.5"/>
  <pageSetup paperSize="0" scale="87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 enableFormatConditionsCalculation="0">
    <pageSetUpPr fitToPage="1"/>
  </sheetPr>
  <dimension ref="A2:Y38"/>
  <sheetViews>
    <sheetView workbookViewId="0">
      <selection activeCell="H43" sqref="H43"/>
    </sheetView>
  </sheetViews>
  <sheetFormatPr baseColWidth="10" defaultRowHeight="13" x14ac:dyDescent="0"/>
  <cols>
    <col min="1" max="1" width="23.7109375" customWidth="1"/>
    <col min="2" max="2" width="11.5703125" style="570" hidden="1" customWidth="1"/>
    <col min="3" max="5" width="12.42578125" style="570" customWidth="1"/>
    <col min="6" max="6" width="12.5703125" style="570" hidden="1" customWidth="1"/>
    <col min="7" max="10" width="12.5703125" style="570" customWidth="1"/>
    <col min="11" max="11" width="4.85546875" style="570" customWidth="1"/>
    <col min="12" max="12" width="11.5703125" style="570" hidden="1" customWidth="1"/>
    <col min="13" max="15" width="11.5703125" style="570" customWidth="1"/>
    <col min="16" max="16" width="12.42578125" style="570" hidden="1" customWidth="1"/>
    <col min="17" max="20" width="12.42578125" style="570" customWidth="1"/>
    <col min="21" max="21" width="4.85546875" style="570" customWidth="1"/>
    <col min="22" max="22" width="10.7109375" style="572" hidden="1" customWidth="1"/>
  </cols>
  <sheetData>
    <row r="2" spans="1:25">
      <c r="A2" s="187" t="s">
        <v>344</v>
      </c>
      <c r="G2"/>
      <c r="H2"/>
      <c r="I2"/>
      <c r="J2"/>
      <c r="V2"/>
      <c r="W2" s="570"/>
    </row>
    <row r="3" spans="1:25">
      <c r="A3" s="571"/>
    </row>
    <row r="4" spans="1:25" s="187" customFormat="1">
      <c r="B4" s="573" t="s">
        <v>12</v>
      </c>
      <c r="C4" s="573" t="s">
        <v>13</v>
      </c>
      <c r="D4" s="573" t="s">
        <v>35</v>
      </c>
      <c r="E4" s="573" t="s">
        <v>36</v>
      </c>
      <c r="F4" s="573" t="s">
        <v>37</v>
      </c>
      <c r="G4" s="573" t="s">
        <v>38</v>
      </c>
      <c r="H4" s="573" t="s">
        <v>39</v>
      </c>
      <c r="I4" s="573" t="s">
        <v>40</v>
      </c>
      <c r="J4" s="573" t="s">
        <v>1</v>
      </c>
      <c r="K4" s="574"/>
      <c r="L4" s="573" t="s">
        <v>12</v>
      </c>
      <c r="M4" s="573" t="s">
        <v>13</v>
      </c>
      <c r="N4" s="573" t="s">
        <v>35</v>
      </c>
      <c r="O4" s="573" t="s">
        <v>36</v>
      </c>
      <c r="P4" s="573" t="s">
        <v>37</v>
      </c>
      <c r="Q4" s="573" t="s">
        <v>38</v>
      </c>
      <c r="R4" s="573" t="s">
        <v>39</v>
      </c>
      <c r="S4" s="573" t="s">
        <v>41</v>
      </c>
      <c r="T4" s="573"/>
      <c r="U4" s="573"/>
      <c r="V4" s="575" t="s">
        <v>146</v>
      </c>
      <c r="W4" s="575" t="s">
        <v>233</v>
      </c>
      <c r="X4" s="575" t="s">
        <v>234</v>
      </c>
      <c r="Y4" s="575" t="s">
        <v>418</v>
      </c>
    </row>
    <row r="5" spans="1:25" s="187" customFormat="1" ht="14" thickBot="1">
      <c r="A5" s="187" t="s">
        <v>419</v>
      </c>
      <c r="B5" s="576" t="s">
        <v>640</v>
      </c>
      <c r="C5" s="576" t="s">
        <v>640</v>
      </c>
      <c r="D5" s="576" t="s">
        <v>640</v>
      </c>
      <c r="E5" s="576" t="s">
        <v>640</v>
      </c>
      <c r="F5" s="576" t="s">
        <v>640</v>
      </c>
      <c r="G5" s="576" t="s">
        <v>640</v>
      </c>
      <c r="H5" s="576" t="s">
        <v>640</v>
      </c>
      <c r="I5" s="576" t="s">
        <v>640</v>
      </c>
      <c r="J5" s="576" t="s">
        <v>0</v>
      </c>
      <c r="K5" s="577"/>
      <c r="L5" s="576" t="s">
        <v>641</v>
      </c>
      <c r="M5" s="576" t="s">
        <v>641</v>
      </c>
      <c r="N5" s="576" t="s">
        <v>641</v>
      </c>
      <c r="O5" s="576" t="s">
        <v>641</v>
      </c>
      <c r="P5" s="576" t="s">
        <v>641</v>
      </c>
      <c r="Q5" s="576" t="s">
        <v>641</v>
      </c>
      <c r="R5" s="576" t="s">
        <v>641</v>
      </c>
      <c r="S5" s="576" t="s">
        <v>641</v>
      </c>
      <c r="T5" s="578"/>
      <c r="U5" s="578"/>
      <c r="V5" s="576" t="s">
        <v>420</v>
      </c>
      <c r="W5" s="576" t="s">
        <v>420</v>
      </c>
      <c r="X5" s="576" t="s">
        <v>420</v>
      </c>
      <c r="Y5" s="576" t="s">
        <v>420</v>
      </c>
    </row>
    <row r="7" spans="1:25">
      <c r="A7" s="187"/>
      <c r="H7" s="578"/>
      <c r="I7" s="578"/>
      <c r="J7" s="578"/>
    </row>
    <row r="8" spans="1:25">
      <c r="A8" s="187"/>
    </row>
    <row r="9" spans="1:25">
      <c r="A9" s="187" t="s">
        <v>421</v>
      </c>
      <c r="F9" s="570">
        <v>11625440</v>
      </c>
      <c r="G9" s="570">
        <v>11939451</v>
      </c>
      <c r="H9" s="570">
        <v>13489589</v>
      </c>
      <c r="I9" s="570">
        <v>16240417</v>
      </c>
      <c r="J9" s="570">
        <v>24274470</v>
      </c>
      <c r="P9" s="570">
        <v>-831881</v>
      </c>
      <c r="Q9" s="570">
        <v>1121901</v>
      </c>
      <c r="R9" s="570">
        <v>1860700</v>
      </c>
      <c r="S9" s="570">
        <v>2639721</v>
      </c>
      <c r="V9" s="572">
        <f>P9/F9</f>
        <v>-7.1556947521986269E-2</v>
      </c>
      <c r="W9" s="572">
        <f>Q9/G9</f>
        <v>9.3965878330586561E-2</v>
      </c>
      <c r="X9" s="572">
        <f>R9/H9</f>
        <v>0.13793600383228874</v>
      </c>
      <c r="Y9" s="200">
        <f>S9/I9</f>
        <v>0.16254022295117176</v>
      </c>
    </row>
    <row r="10" spans="1:25">
      <c r="A10" s="187"/>
    </row>
    <row r="11" spans="1:25" hidden="1">
      <c r="A11" s="579" t="s">
        <v>422</v>
      </c>
      <c r="F11" s="570">
        <v>308175</v>
      </c>
      <c r="G11" s="570">
        <v>0</v>
      </c>
      <c r="H11" s="570">
        <v>0</v>
      </c>
      <c r="I11" s="570">
        <v>0</v>
      </c>
      <c r="J11" s="570">
        <v>0</v>
      </c>
      <c r="P11" s="570">
        <v>-156535</v>
      </c>
      <c r="Q11" s="570">
        <v>0</v>
      </c>
      <c r="R11" s="570">
        <v>0</v>
      </c>
      <c r="S11" s="570">
        <v>0</v>
      </c>
      <c r="V11" s="572">
        <f>P11/F11</f>
        <v>-0.50794191611908823</v>
      </c>
      <c r="W11" s="580" t="s">
        <v>423</v>
      </c>
      <c r="X11" s="580" t="s">
        <v>423</v>
      </c>
      <c r="Y11" s="580" t="s">
        <v>423</v>
      </c>
    </row>
    <row r="12" spans="1:25">
      <c r="A12" s="579"/>
    </row>
    <row r="13" spans="1:25">
      <c r="A13" s="579" t="s">
        <v>562</v>
      </c>
      <c r="F13" s="570">
        <v>5617236</v>
      </c>
      <c r="G13" s="570">
        <v>6276988</v>
      </c>
      <c r="H13" s="570">
        <v>7290630</v>
      </c>
      <c r="I13" s="570">
        <v>9561436</v>
      </c>
      <c r="J13" s="570">
        <f>11763484+J15</f>
        <v>12367930</v>
      </c>
      <c r="P13" s="570">
        <v>-47099</v>
      </c>
      <c r="Q13" s="570">
        <v>1379283</v>
      </c>
      <c r="R13" s="570">
        <v>1977401</v>
      </c>
      <c r="S13" s="570">
        <v>2360162</v>
      </c>
      <c r="V13" s="572">
        <f>P13/F13</f>
        <v>-8.3847287171128285E-3</v>
      </c>
      <c r="W13" s="572">
        <f>Q13/G13</f>
        <v>0.21973644047113042</v>
      </c>
      <c r="X13" s="572">
        <f>R13/H13</f>
        <v>0.27122498330048295</v>
      </c>
      <c r="Y13" s="200">
        <f>S13/I13</f>
        <v>0.24684179238348716</v>
      </c>
    </row>
    <row r="14" spans="1:25" hidden="1">
      <c r="A14" s="155" t="s">
        <v>563</v>
      </c>
      <c r="B14" s="570">
        <v>0</v>
      </c>
      <c r="C14" s="570">
        <v>0</v>
      </c>
      <c r="D14" s="570">
        <v>0</v>
      </c>
      <c r="E14" s="570">
        <v>0</v>
      </c>
      <c r="L14" s="570">
        <v>-216536</v>
      </c>
      <c r="M14" s="570">
        <v>0</v>
      </c>
      <c r="N14" s="570">
        <v>0</v>
      </c>
      <c r="O14" s="570">
        <v>0</v>
      </c>
      <c r="W14" t="s">
        <v>564</v>
      </c>
    </row>
    <row r="15" spans="1:25">
      <c r="A15" s="155" t="s">
        <v>571</v>
      </c>
      <c r="B15" s="570">
        <v>131288</v>
      </c>
      <c r="C15" s="570">
        <v>266271</v>
      </c>
      <c r="D15" s="570">
        <v>250311</v>
      </c>
      <c r="E15" s="570">
        <v>429995</v>
      </c>
      <c r="J15" s="570">
        <v>604446</v>
      </c>
      <c r="L15" s="570">
        <v>-40700</v>
      </c>
      <c r="M15" s="570">
        <v>68404</v>
      </c>
      <c r="N15" s="570">
        <v>46463</v>
      </c>
      <c r="O15" s="570">
        <v>105081</v>
      </c>
      <c r="V15" s="572">
        <f t="shared" ref="V15:Y19" si="0">L15/B15</f>
        <v>-0.31000548412650053</v>
      </c>
      <c r="W15" s="572">
        <f t="shared" si="0"/>
        <v>0.2568961696917802</v>
      </c>
      <c r="X15" s="572">
        <f t="shared" si="0"/>
        <v>0.18562108736731506</v>
      </c>
      <c r="Y15" s="572">
        <f t="shared" si="0"/>
        <v>0.2443772602007</v>
      </c>
    </row>
    <row r="16" spans="1:25">
      <c r="A16" s="155" t="s">
        <v>572</v>
      </c>
      <c r="B16" s="570">
        <v>615201</v>
      </c>
      <c r="C16" s="570">
        <v>132424</v>
      </c>
      <c r="D16" s="570">
        <v>17742</v>
      </c>
      <c r="E16" s="570">
        <v>0</v>
      </c>
      <c r="L16" s="570">
        <v>-67850</v>
      </c>
      <c r="M16" s="570">
        <v>-92657</v>
      </c>
      <c r="N16" s="570">
        <v>-37185</v>
      </c>
      <c r="O16" s="570">
        <v>0</v>
      </c>
      <c r="V16" s="572">
        <f t="shared" si="0"/>
        <v>-0.11028915752737724</v>
      </c>
      <c r="W16" s="572">
        <f t="shared" si="0"/>
        <v>-0.69969945025070979</v>
      </c>
      <c r="X16" s="572">
        <f t="shared" si="0"/>
        <v>-2.0958741968211023</v>
      </c>
      <c r="Y16" s="572" t="e">
        <f t="shared" si="0"/>
        <v>#DIV/0!</v>
      </c>
    </row>
    <row r="17" spans="1:25">
      <c r="A17" s="155" t="s">
        <v>573</v>
      </c>
      <c r="B17" s="570">
        <v>2363611</v>
      </c>
      <c r="C17" s="570">
        <v>2357204</v>
      </c>
      <c r="D17" s="570">
        <v>3160912</v>
      </c>
      <c r="E17" s="570">
        <v>3842506</v>
      </c>
      <c r="J17" s="570">
        <v>4057737</v>
      </c>
      <c r="L17" s="570">
        <v>63872</v>
      </c>
      <c r="M17" s="570">
        <v>492996</v>
      </c>
      <c r="N17" s="570">
        <v>889161</v>
      </c>
      <c r="O17" s="570">
        <v>958696</v>
      </c>
      <c r="V17" s="572">
        <f t="shared" si="0"/>
        <v>2.7023059208981511E-2</v>
      </c>
      <c r="W17" s="572">
        <f t="shared" si="0"/>
        <v>0.20914439310301527</v>
      </c>
      <c r="X17" s="572">
        <f t="shared" si="0"/>
        <v>0.28129887829841516</v>
      </c>
      <c r="Y17" s="572">
        <f t="shared" si="0"/>
        <v>0.24949759349757683</v>
      </c>
    </row>
    <row r="18" spans="1:25">
      <c r="A18" s="155" t="s">
        <v>574</v>
      </c>
      <c r="B18" s="570">
        <v>535408</v>
      </c>
      <c r="C18" s="570">
        <v>1032315</v>
      </c>
      <c r="D18" s="570">
        <v>833757</v>
      </c>
      <c r="E18" s="570">
        <v>2174843</v>
      </c>
      <c r="J18" s="570">
        <v>2929777</v>
      </c>
      <c r="L18" s="570">
        <v>-90408</v>
      </c>
      <c r="M18" s="570">
        <v>347364</v>
      </c>
      <c r="N18" s="570">
        <v>231970</v>
      </c>
      <c r="O18" s="570">
        <v>592395</v>
      </c>
      <c r="V18" s="572">
        <f t="shared" si="0"/>
        <v>-0.16885814182828796</v>
      </c>
      <c r="W18" s="572">
        <f t="shared" si="0"/>
        <v>0.33649031545603814</v>
      </c>
      <c r="X18" s="572">
        <f t="shared" si="0"/>
        <v>0.27822255165473875</v>
      </c>
      <c r="Y18" s="572">
        <f t="shared" si="0"/>
        <v>0.27238517906809823</v>
      </c>
    </row>
    <row r="19" spans="1:25">
      <c r="A19" s="155" t="s">
        <v>753</v>
      </c>
      <c r="B19" s="570">
        <v>1971728</v>
      </c>
      <c r="C19" s="570">
        <v>2488774</v>
      </c>
      <c r="D19" s="570">
        <v>3027908</v>
      </c>
      <c r="E19" s="570">
        <v>3114092</v>
      </c>
      <c r="J19" s="570">
        <v>4775844</v>
      </c>
      <c r="L19" s="570">
        <v>304523</v>
      </c>
      <c r="M19" s="570">
        <v>563176</v>
      </c>
      <c r="N19" s="570">
        <v>846992</v>
      </c>
      <c r="O19" s="570">
        <v>703990</v>
      </c>
      <c r="V19" s="572">
        <f t="shared" si="0"/>
        <v>0.15444473071336412</v>
      </c>
      <c r="W19" s="572">
        <f t="shared" si="0"/>
        <v>0.22628651697582827</v>
      </c>
      <c r="X19" s="572">
        <f t="shared" si="0"/>
        <v>0.27972844617471865</v>
      </c>
      <c r="Y19" s="572">
        <f t="shared" si="0"/>
        <v>0.22606589657595216</v>
      </c>
    </row>
    <row r="20" spans="1:25">
      <c r="A20" s="155"/>
    </row>
    <row r="21" spans="1:25">
      <c r="A21" s="579" t="s">
        <v>631</v>
      </c>
      <c r="F21" s="570">
        <v>6511536</v>
      </c>
      <c r="G21" s="570">
        <v>6493171</v>
      </c>
      <c r="H21" s="570">
        <v>6805998</v>
      </c>
      <c r="I21" s="570">
        <v>8233258</v>
      </c>
      <c r="P21" s="570">
        <v>1257879</v>
      </c>
      <c r="Q21" s="570">
        <v>1837053</v>
      </c>
      <c r="R21" s="570">
        <v>1997275</v>
      </c>
      <c r="S21" s="570">
        <v>2688014</v>
      </c>
      <c r="V21" s="572">
        <f>P21/F21</f>
        <v>0.19317700155539339</v>
      </c>
      <c r="W21" s="572">
        <f>Q21/G21</f>
        <v>0.28292077938498772</v>
      </c>
      <c r="X21" s="572">
        <f>R21/H21</f>
        <v>0.293458064489587</v>
      </c>
      <c r="Y21" s="572">
        <f>S21/I21</f>
        <v>0.3264824204464381</v>
      </c>
    </row>
    <row r="22" spans="1:25" hidden="1">
      <c r="A22" s="155" t="s">
        <v>975</v>
      </c>
      <c r="B22" s="570">
        <v>0</v>
      </c>
      <c r="C22" s="570">
        <v>0</v>
      </c>
      <c r="D22" s="570">
        <v>0</v>
      </c>
      <c r="E22" s="570">
        <v>0</v>
      </c>
      <c r="L22" s="570">
        <v>-211918</v>
      </c>
      <c r="M22" s="570">
        <v>0</v>
      </c>
      <c r="N22" s="570">
        <v>0</v>
      </c>
      <c r="O22" s="570">
        <v>0</v>
      </c>
    </row>
    <row r="23" spans="1:25">
      <c r="A23" s="155" t="s">
        <v>587</v>
      </c>
      <c r="B23" s="570">
        <v>4458087</v>
      </c>
      <c r="C23" s="570">
        <v>4731241</v>
      </c>
      <c r="D23" s="570">
        <v>4871710</v>
      </c>
      <c r="E23" s="570">
        <v>5796901</v>
      </c>
      <c r="J23" s="570">
        <f>23200+6468492+134261</f>
        <v>6625953</v>
      </c>
      <c r="L23" s="570">
        <v>1631774</v>
      </c>
      <c r="M23" s="570">
        <v>1842314</v>
      </c>
      <c r="N23" s="570">
        <v>1816351</v>
      </c>
      <c r="O23" s="570">
        <v>2327965</v>
      </c>
      <c r="V23" s="572">
        <f t="shared" ref="V23:Y25" si="1">L23/B23</f>
        <v>0.36602560694755398</v>
      </c>
      <c r="W23" s="572">
        <f t="shared" si="1"/>
        <v>0.38939339593988131</v>
      </c>
      <c r="X23" s="572">
        <f t="shared" si="1"/>
        <v>0.3728364373084605</v>
      </c>
      <c r="Y23" s="572">
        <f t="shared" si="1"/>
        <v>0.40158784840382816</v>
      </c>
    </row>
    <row r="24" spans="1:25">
      <c r="A24" s="155" t="s">
        <v>555</v>
      </c>
      <c r="B24" s="570">
        <v>768883</v>
      </c>
      <c r="C24" s="570">
        <v>675495</v>
      </c>
      <c r="D24" s="570">
        <v>752193</v>
      </c>
      <c r="E24" s="570">
        <v>1052047</v>
      </c>
      <c r="J24" s="255">
        <f>836137+429950+85440</f>
        <v>1351527</v>
      </c>
      <c r="L24" s="570">
        <v>-126036</v>
      </c>
      <c r="M24" s="570">
        <v>-108037</v>
      </c>
      <c r="N24" s="570">
        <v>316</v>
      </c>
      <c r="O24" s="570">
        <v>136122</v>
      </c>
      <c r="V24" s="572">
        <f t="shared" si="1"/>
        <v>-0.1639209086427974</v>
      </c>
      <c r="W24" s="572">
        <f t="shared" si="1"/>
        <v>-0.15993752729479863</v>
      </c>
      <c r="X24" s="572">
        <f t="shared" si="1"/>
        <v>4.2010494646985548E-4</v>
      </c>
      <c r="Y24" s="572">
        <f t="shared" si="1"/>
        <v>0.12938775549001139</v>
      </c>
    </row>
    <row r="25" spans="1:25">
      <c r="A25" s="155" t="s">
        <v>548</v>
      </c>
      <c r="B25" s="570">
        <v>1284566</v>
      </c>
      <c r="C25" s="570">
        <v>1086435</v>
      </c>
      <c r="D25" s="570">
        <v>1182095</v>
      </c>
      <c r="E25" s="570">
        <v>1384310</v>
      </c>
      <c r="J25" s="570">
        <v>2377720</v>
      </c>
      <c r="L25" s="570">
        <v>-35941</v>
      </c>
      <c r="M25" s="570">
        <v>102776</v>
      </c>
      <c r="N25" s="570">
        <v>180608</v>
      </c>
      <c r="O25" s="570">
        <v>223927</v>
      </c>
      <c r="V25" s="572">
        <f t="shared" si="1"/>
        <v>-2.7979099555803282E-2</v>
      </c>
      <c r="W25" s="572">
        <f t="shared" si="1"/>
        <v>9.4599308748337455E-2</v>
      </c>
      <c r="X25" s="572">
        <f t="shared" si="1"/>
        <v>0.15278636657798231</v>
      </c>
      <c r="Y25" s="572">
        <f t="shared" si="1"/>
        <v>0.16176073278384176</v>
      </c>
    </row>
    <row r="26" spans="1:25">
      <c r="A26" s="155"/>
    </row>
    <row r="27" spans="1:25">
      <c r="A27" s="579" t="s">
        <v>2</v>
      </c>
      <c r="F27" s="570">
        <v>14288</v>
      </c>
      <c r="G27" s="570">
        <v>302173</v>
      </c>
      <c r="H27" s="570">
        <v>433843</v>
      </c>
      <c r="I27" s="570">
        <v>113518</v>
      </c>
      <c r="J27" s="570">
        <f>712265+592875+3061041</f>
        <v>4366181</v>
      </c>
      <c r="P27" s="570">
        <v>-5095</v>
      </c>
      <c r="Q27" s="570">
        <v>-143292</v>
      </c>
      <c r="R27" s="570">
        <v>4743</v>
      </c>
      <c r="S27" s="570">
        <v>-14119</v>
      </c>
      <c r="V27" s="572">
        <f>P27/F27</f>
        <v>-0.35659294512877937</v>
      </c>
      <c r="W27" s="572">
        <f>Q27/G27</f>
        <v>-0.47420517385735983</v>
      </c>
      <c r="X27" s="572">
        <f>R27/H27</f>
        <v>1.0932526282549216E-2</v>
      </c>
      <c r="Y27" s="572">
        <f>S27/I27</f>
        <v>-0.12437675082365793</v>
      </c>
    </row>
    <row r="28" spans="1:25">
      <c r="A28" s="579"/>
      <c r="V28" s="581" t="s">
        <v>979</v>
      </c>
    </row>
    <row r="29" spans="1:25">
      <c r="A29" s="579" t="s">
        <v>980</v>
      </c>
      <c r="F29" s="570">
        <v>-825795</v>
      </c>
      <c r="G29" s="570">
        <v>-1132881</v>
      </c>
      <c r="H29" s="570">
        <v>-1040882</v>
      </c>
      <c r="I29" s="570">
        <v>-1667795</v>
      </c>
      <c r="J29" s="570">
        <v>-2814841</v>
      </c>
      <c r="P29" s="570">
        <v>-1881031</v>
      </c>
      <c r="Q29" s="570">
        <v>-1951143</v>
      </c>
      <c r="R29" s="570">
        <v>-2118719</v>
      </c>
      <c r="S29" s="570">
        <v>-2394336</v>
      </c>
      <c r="V29" s="572">
        <f>P29/F9</f>
        <v>-0.16180299412323318</v>
      </c>
      <c r="W29" s="572">
        <f>Q29/G9</f>
        <v>-0.16341982558494525</v>
      </c>
      <c r="X29" s="572">
        <f>R29/H9</f>
        <v>-0.15706327301743589</v>
      </c>
      <c r="Y29" s="572">
        <f>S29/I9</f>
        <v>-0.14743069713049856</v>
      </c>
    </row>
    <row r="30" spans="1:25">
      <c r="A30" s="155" t="s">
        <v>793</v>
      </c>
      <c r="B30" s="570">
        <v>-851991</v>
      </c>
      <c r="C30" s="570">
        <v>166</v>
      </c>
      <c r="D30" s="570">
        <v>0</v>
      </c>
      <c r="E30" s="570">
        <v>0</v>
      </c>
      <c r="L30" s="570">
        <v>-816991</v>
      </c>
      <c r="M30" s="570">
        <v>-419405</v>
      </c>
      <c r="N30" s="570">
        <v>-398332</v>
      </c>
      <c r="O30" s="570">
        <v>-447394</v>
      </c>
      <c r="V30" s="572">
        <f>L30/$F$9</f>
        <v>-7.0276135784968136E-2</v>
      </c>
      <c r="W30" s="572">
        <f>M30/$G$9</f>
        <v>-3.5127662067543974E-2</v>
      </c>
      <c r="X30" s="572">
        <f>N30/$H$9</f>
        <v>-2.9528846282863029E-2</v>
      </c>
      <c r="Y30" s="572">
        <f>O30/$I$9</f>
        <v>-2.7548184261524812E-2</v>
      </c>
    </row>
    <row r="31" spans="1:25">
      <c r="A31" s="155" t="s">
        <v>976</v>
      </c>
      <c r="B31" s="570">
        <v>477</v>
      </c>
      <c r="C31" s="570">
        <v>4858</v>
      </c>
      <c r="D31" s="570">
        <v>376</v>
      </c>
      <c r="E31" s="570">
        <v>510</v>
      </c>
      <c r="L31" s="570">
        <v>-246288</v>
      </c>
      <c r="M31" s="570">
        <v>-207864</v>
      </c>
      <c r="N31" s="570">
        <v>-173172</v>
      </c>
      <c r="O31" s="570">
        <v>-181327</v>
      </c>
      <c r="V31" s="572">
        <f>L31/$F$9</f>
        <v>-2.1185262665327075E-2</v>
      </c>
      <c r="W31" s="572">
        <f>M31/$G$9</f>
        <v>-1.7409845729087544E-2</v>
      </c>
      <c r="X31" s="572">
        <f>N31/$H$9</f>
        <v>-1.2837455611138337E-2</v>
      </c>
      <c r="Y31" s="572">
        <f>O31/$I$9</f>
        <v>-1.1165168973185849E-2</v>
      </c>
    </row>
    <row r="32" spans="1:25">
      <c r="A32" s="155" t="s">
        <v>977</v>
      </c>
      <c r="B32" s="570">
        <v>9358</v>
      </c>
      <c r="C32" s="570">
        <v>44988</v>
      </c>
      <c r="D32" s="570">
        <v>7772</v>
      </c>
      <c r="E32" s="570">
        <v>4913</v>
      </c>
      <c r="L32" s="570">
        <v>-449486</v>
      </c>
      <c r="M32" s="570">
        <v>-468787</v>
      </c>
      <c r="N32" s="570">
        <v>-798482</v>
      </c>
      <c r="O32" s="570">
        <v>-895751</v>
      </c>
      <c r="V32" s="572">
        <f>L32/$F$9</f>
        <v>-3.8663998954018085E-2</v>
      </c>
      <c r="W32" s="572">
        <f>M32/$G$9</f>
        <v>-3.9263698138214224E-2</v>
      </c>
      <c r="X32" s="572">
        <f>N32/$H$9</f>
        <v>-5.9192463165482656E-2</v>
      </c>
      <c r="Y32" s="572">
        <f>O32/$I$9</f>
        <v>-5.5155665030029707E-2</v>
      </c>
    </row>
    <row r="33" spans="1:25">
      <c r="A33" s="155" t="s">
        <v>978</v>
      </c>
      <c r="B33" s="570">
        <v>9361</v>
      </c>
      <c r="C33" s="570">
        <v>-1196766</v>
      </c>
      <c r="D33" s="570">
        <v>-1247847</v>
      </c>
      <c r="E33" s="570">
        <v>-2077229</v>
      </c>
      <c r="L33" s="570">
        <v>-247720</v>
      </c>
      <c r="M33" s="570">
        <v>-183542</v>
      </c>
      <c r="N33" s="570">
        <v>-237708</v>
      </c>
      <c r="O33" s="570">
        <v>-318855</v>
      </c>
      <c r="V33" s="572">
        <f>L33/$F$9</f>
        <v>-2.1308440798799875E-2</v>
      </c>
      <c r="W33" s="572">
        <f>M33/$G$9</f>
        <v>-1.5372733637417667E-2</v>
      </c>
      <c r="X33" s="572">
        <f>N33/$H$9</f>
        <v>-1.7621589508768576E-2</v>
      </c>
      <c r="Y33" s="572">
        <f>O33/$I$9</f>
        <v>-1.9633424437315864E-2</v>
      </c>
    </row>
    <row r="34" spans="1:25">
      <c r="A34" s="155" t="s">
        <v>604</v>
      </c>
      <c r="B34" s="570">
        <v>7000</v>
      </c>
      <c r="C34" s="570">
        <v>13873</v>
      </c>
      <c r="D34" s="570">
        <v>198817</v>
      </c>
      <c r="E34" s="570">
        <v>404011</v>
      </c>
      <c r="L34" s="570">
        <v>-120546</v>
      </c>
      <c r="M34" s="570">
        <v>-671545</v>
      </c>
      <c r="N34" s="570">
        <v>-511025</v>
      </c>
      <c r="O34" s="570">
        <v>-551009</v>
      </c>
      <c r="V34" s="572">
        <f>L34/$F$9</f>
        <v>-1.0369155920120013E-2</v>
      </c>
      <c r="W34" s="572">
        <f>M34/$G$9</f>
        <v>-5.6245886012681823E-2</v>
      </c>
      <c r="X34" s="572">
        <f>N34/$H$9</f>
        <v>-3.7882918449183289E-2</v>
      </c>
      <c r="Y34" s="572">
        <f>O34/$I$9</f>
        <v>-3.3928254428442321E-2</v>
      </c>
    </row>
    <row r="35" spans="1:25" ht="14" thickBot="1">
      <c r="F35" s="582"/>
      <c r="G35" s="582"/>
      <c r="H35" s="582"/>
      <c r="I35" s="582"/>
      <c r="J35" s="582"/>
      <c r="K35" s="583"/>
      <c r="P35" s="582"/>
      <c r="Q35" s="582"/>
      <c r="R35" s="582"/>
      <c r="S35" s="582"/>
      <c r="T35" s="583"/>
      <c r="U35" s="583"/>
    </row>
    <row r="36" spans="1:25">
      <c r="A36" s="584" t="s">
        <v>791</v>
      </c>
      <c r="F36" s="570">
        <f>SUM(F11:F34)</f>
        <v>11625440</v>
      </c>
      <c r="G36" s="570">
        <f>SUM(G11:G34)</f>
        <v>11939451</v>
      </c>
      <c r="H36" s="570">
        <f>SUM(H11:H34)</f>
        <v>13489589</v>
      </c>
      <c r="I36" s="570">
        <f>SUM(I11:I34)</f>
        <v>16240417</v>
      </c>
      <c r="J36" s="570">
        <f>J13+J23+J24+J25+J27+J29</f>
        <v>24274470</v>
      </c>
      <c r="P36" s="570">
        <f>SUM(P11:P34)</f>
        <v>-831881</v>
      </c>
      <c r="Q36" s="570">
        <f>SUM(Q11:Q34)</f>
        <v>1121901</v>
      </c>
      <c r="R36" s="570">
        <f>SUM(R11:R34)</f>
        <v>1860700</v>
      </c>
      <c r="S36" s="570">
        <f>SUM(S11:S34)</f>
        <v>2639721</v>
      </c>
    </row>
    <row r="38" spans="1:25" hidden="1">
      <c r="A38" t="s">
        <v>954</v>
      </c>
    </row>
  </sheetData>
  <phoneticPr fontId="59"/>
  <printOptions horizontalCentered="1" verticalCentered="1"/>
  <pageMargins left="0.05" right="0.05" top="1" bottom="1" header="0.05" footer="0.5"/>
  <pageSetup paperSize="0" scale="4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/>
  <dimension ref="A1:C106"/>
  <sheetViews>
    <sheetView topLeftCell="A9" workbookViewId="0"/>
  </sheetViews>
  <sheetFormatPr baseColWidth="10" defaultRowHeight="13" x14ac:dyDescent="0"/>
  <cols>
    <col min="1" max="1" width="46" bestFit="1" customWidth="1"/>
    <col min="2" max="2" width="14.42578125" style="186" bestFit="1" customWidth="1"/>
    <col min="3" max="3" width="13.42578125" style="186" bestFit="1" customWidth="1"/>
  </cols>
  <sheetData>
    <row r="1" spans="1:3">
      <c r="A1" t="s">
        <v>957</v>
      </c>
    </row>
    <row r="2" spans="1:3" ht="14" thickBot="1">
      <c r="A2" t="s">
        <v>1015</v>
      </c>
    </row>
    <row r="3" spans="1:3" ht="14" thickBot="1">
      <c r="A3" t="s">
        <v>1022</v>
      </c>
      <c r="B3" s="813">
        <v>34942</v>
      </c>
      <c r="C3" s="814"/>
    </row>
    <row r="4" spans="1:3">
      <c r="A4" t="s">
        <v>879</v>
      </c>
    </row>
    <row r="5" spans="1:3">
      <c r="A5" t="s">
        <v>880</v>
      </c>
    </row>
    <row r="6" spans="1:3">
      <c r="A6" t="s">
        <v>373</v>
      </c>
      <c r="B6" s="188"/>
      <c r="C6" s="189"/>
    </row>
    <row r="7" spans="1:3">
      <c r="A7" t="s">
        <v>1515</v>
      </c>
      <c r="B7" s="190">
        <v>-18893.52</v>
      </c>
      <c r="C7" s="191"/>
    </row>
    <row r="8" spans="1:3">
      <c r="A8" t="s">
        <v>1470</v>
      </c>
      <c r="B8" s="190">
        <v>11348.44</v>
      </c>
      <c r="C8" s="191"/>
    </row>
    <row r="9" spans="1:3">
      <c r="A9" t="s">
        <v>1471</v>
      </c>
      <c r="B9" s="190">
        <v>1070</v>
      </c>
      <c r="C9" s="191"/>
    </row>
    <row r="10" spans="1:3">
      <c r="A10" t="s">
        <v>1555</v>
      </c>
      <c r="B10" s="190"/>
      <c r="C10" s="191"/>
    </row>
    <row r="11" spans="1:3">
      <c r="A11" t="s">
        <v>1304</v>
      </c>
      <c r="B11" s="190">
        <v>-6475.08</v>
      </c>
      <c r="C11" s="191"/>
    </row>
    <row r="12" spans="1:3">
      <c r="B12" s="190"/>
      <c r="C12" s="191"/>
    </row>
    <row r="13" spans="1:3">
      <c r="A13" t="s">
        <v>1305</v>
      </c>
      <c r="B13" s="190">
        <v>2238292.27</v>
      </c>
      <c r="C13" s="191"/>
    </row>
    <row r="14" spans="1:3">
      <c r="A14" t="s">
        <v>1441</v>
      </c>
      <c r="B14" s="190">
        <v>106619</v>
      </c>
      <c r="C14" s="191"/>
    </row>
    <row r="15" spans="1:3">
      <c r="A15" t="s">
        <v>1472</v>
      </c>
      <c r="B15" s="190">
        <v>-43000</v>
      </c>
      <c r="C15" s="191"/>
    </row>
    <row r="16" spans="1:3">
      <c r="A16" t="s">
        <v>1023</v>
      </c>
      <c r="B16" s="190">
        <v>198906.39</v>
      </c>
      <c r="C16" s="191"/>
    </row>
    <row r="17" spans="1:3">
      <c r="A17" t="s">
        <v>405</v>
      </c>
      <c r="B17" s="190">
        <v>8225.86</v>
      </c>
      <c r="C17" s="191"/>
    </row>
    <row r="18" spans="1:3">
      <c r="A18" t="s">
        <v>1379</v>
      </c>
      <c r="B18" s="190">
        <v>67438.59</v>
      </c>
      <c r="C18" s="191"/>
    </row>
    <row r="19" spans="1:3">
      <c r="A19" t="s">
        <v>1373</v>
      </c>
      <c r="B19" s="190">
        <v>291914.71000000002</v>
      </c>
      <c r="C19" s="191"/>
    </row>
    <row r="20" spans="1:3">
      <c r="A20" t="s">
        <v>1264</v>
      </c>
      <c r="B20" s="190">
        <v>-10058.93</v>
      </c>
      <c r="C20" s="191"/>
    </row>
    <row r="21" spans="1:3">
      <c r="A21" t="s">
        <v>1202</v>
      </c>
      <c r="B21" s="190">
        <v>59344.43</v>
      </c>
      <c r="C21" s="191"/>
    </row>
    <row r="22" spans="1:3">
      <c r="A22" t="s">
        <v>59</v>
      </c>
      <c r="B22" s="190">
        <v>21738.7</v>
      </c>
      <c r="C22" s="191"/>
    </row>
    <row r="23" spans="1:3">
      <c r="A23" t="s">
        <v>1533</v>
      </c>
      <c r="B23" s="190">
        <v>-19993.98</v>
      </c>
      <c r="C23" s="191"/>
    </row>
    <row r="24" spans="1:3">
      <c r="A24" t="s">
        <v>55</v>
      </c>
      <c r="B24" s="190">
        <v>6938.09</v>
      </c>
      <c r="C24" s="191"/>
    </row>
    <row r="25" spans="1:3">
      <c r="A25" t="s">
        <v>1555</v>
      </c>
      <c r="B25" s="190"/>
      <c r="C25" s="191"/>
    </row>
    <row r="26" spans="1:3">
      <c r="A26" t="s">
        <v>56</v>
      </c>
      <c r="B26" s="190">
        <v>2919890.05</v>
      </c>
      <c r="C26" s="191">
        <v>2919890.05</v>
      </c>
    </row>
    <row r="27" spans="1:3">
      <c r="B27" s="190"/>
      <c r="C27" s="191"/>
    </row>
    <row r="28" spans="1:3" ht="14" thickBot="1">
      <c r="A28" t="s">
        <v>867</v>
      </c>
      <c r="B28" s="190"/>
      <c r="C28" s="191"/>
    </row>
    <row r="29" spans="1:3" ht="14" thickBot="1">
      <c r="A29" t="s">
        <v>868</v>
      </c>
      <c r="B29" s="190"/>
      <c r="C29" s="196" t="s">
        <v>865</v>
      </c>
    </row>
    <row r="30" spans="1:3">
      <c r="A30" t="s">
        <v>1584</v>
      </c>
      <c r="B30" s="190">
        <v>5596602.2999999998</v>
      </c>
      <c r="C30" s="197">
        <f>B30+B41</f>
        <v>4222228.8</v>
      </c>
    </row>
    <row r="31" spans="1:3">
      <c r="A31" t="s">
        <v>510</v>
      </c>
      <c r="B31" s="190">
        <v>184641.85</v>
      </c>
      <c r="C31" s="194">
        <f t="shared" ref="C31:C36" si="0">B31+B42</f>
        <v>151349.93</v>
      </c>
    </row>
    <row r="32" spans="1:3">
      <c r="A32" t="s">
        <v>1422</v>
      </c>
      <c r="B32" s="190">
        <v>32386.87</v>
      </c>
      <c r="C32" s="194">
        <f t="shared" si="0"/>
        <v>8432.2000000000007</v>
      </c>
    </row>
    <row r="33" spans="1:3">
      <c r="A33" t="s">
        <v>1423</v>
      </c>
      <c r="B33" s="190">
        <v>2112145.5</v>
      </c>
      <c r="C33" s="194">
        <f t="shared" si="0"/>
        <v>84623.590000000084</v>
      </c>
    </row>
    <row r="34" spans="1:3">
      <c r="A34" t="s">
        <v>1509</v>
      </c>
      <c r="B34" s="190">
        <v>487117.24</v>
      </c>
      <c r="C34" s="194">
        <f t="shared" si="0"/>
        <v>52605.630000000005</v>
      </c>
    </row>
    <row r="35" spans="1:3">
      <c r="A35" t="s">
        <v>860</v>
      </c>
      <c r="B35" s="190">
        <v>294126.19</v>
      </c>
      <c r="C35" s="194">
        <f t="shared" si="0"/>
        <v>2342.960000000021</v>
      </c>
    </row>
    <row r="36" spans="1:3">
      <c r="A36" t="s">
        <v>1144</v>
      </c>
      <c r="B36" s="190">
        <v>5263085.37</v>
      </c>
      <c r="C36" s="194">
        <f t="shared" si="0"/>
        <v>1015337.1200000001</v>
      </c>
    </row>
    <row r="37" spans="1:3">
      <c r="A37" t="s">
        <v>1555</v>
      </c>
      <c r="B37" s="190"/>
      <c r="C37" s="194"/>
    </row>
    <row r="38" spans="1:3" ht="14" thickBot="1">
      <c r="A38" t="s">
        <v>1145</v>
      </c>
      <c r="B38" s="190">
        <v>13970105.32</v>
      </c>
      <c r="C38" s="195">
        <f>SUM(C30:C36)</f>
        <v>5536920.2299999995</v>
      </c>
    </row>
    <row r="39" spans="1:3">
      <c r="B39" s="190"/>
      <c r="C39" s="191"/>
    </row>
    <row r="40" spans="1:3">
      <c r="A40" t="s">
        <v>1003</v>
      </c>
      <c r="B40" s="190"/>
      <c r="C40" s="191"/>
    </row>
    <row r="41" spans="1:3">
      <c r="A41" t="s">
        <v>1584</v>
      </c>
      <c r="B41" s="190">
        <v>-1374373.5</v>
      </c>
      <c r="C41" s="191"/>
    </row>
    <row r="42" spans="1:3">
      <c r="A42" t="s">
        <v>510</v>
      </c>
      <c r="B42" s="190">
        <v>-33291.919999999998</v>
      </c>
      <c r="C42" s="191"/>
    </row>
    <row r="43" spans="1:3">
      <c r="A43" t="s">
        <v>1422</v>
      </c>
      <c r="B43" s="190">
        <v>-23954.67</v>
      </c>
      <c r="C43" s="191"/>
    </row>
    <row r="44" spans="1:3">
      <c r="A44" t="s">
        <v>1423</v>
      </c>
      <c r="B44" s="190">
        <v>-2027521.91</v>
      </c>
      <c r="C44" s="191"/>
    </row>
    <row r="45" spans="1:3">
      <c r="A45" t="s">
        <v>1509</v>
      </c>
      <c r="B45" s="190">
        <v>-434511.61</v>
      </c>
      <c r="C45" s="191"/>
    </row>
    <row r="46" spans="1:3">
      <c r="A46" t="s">
        <v>860</v>
      </c>
      <c r="B46" s="190">
        <v>-291783.23</v>
      </c>
      <c r="C46" s="191"/>
    </row>
    <row r="47" spans="1:3">
      <c r="A47" t="s">
        <v>1144</v>
      </c>
      <c r="B47" s="190">
        <v>-4247748.25</v>
      </c>
      <c r="C47" s="191"/>
    </row>
    <row r="48" spans="1:3">
      <c r="A48" t="s">
        <v>1555</v>
      </c>
      <c r="B48" s="190"/>
      <c r="C48" s="191"/>
    </row>
    <row r="49" spans="1:3">
      <c r="A49" t="s">
        <v>1145</v>
      </c>
      <c r="B49" s="190">
        <v>-8433185.0899999999</v>
      </c>
      <c r="C49" s="191"/>
    </row>
    <row r="50" spans="1:3">
      <c r="A50" t="s">
        <v>757</v>
      </c>
      <c r="B50" s="190">
        <v>5536920.2300000004</v>
      </c>
      <c r="C50" s="191"/>
    </row>
    <row r="51" spans="1:3">
      <c r="A51" t="s">
        <v>1004</v>
      </c>
      <c r="B51" s="190"/>
      <c r="C51" s="191"/>
    </row>
    <row r="52" spans="1:3">
      <c r="A52" t="s">
        <v>224</v>
      </c>
      <c r="B52" s="190">
        <v>35600.120000000003</v>
      </c>
      <c r="C52" s="191"/>
    </row>
    <row r="53" spans="1:3">
      <c r="A53" t="s">
        <v>225</v>
      </c>
      <c r="B53" s="190">
        <v>45628.52</v>
      </c>
      <c r="C53" s="191"/>
    </row>
    <row r="54" spans="1:3">
      <c r="A54" t="s">
        <v>1555</v>
      </c>
      <c r="B54" s="190"/>
      <c r="C54" s="191"/>
    </row>
    <row r="55" spans="1:3">
      <c r="A55" t="s">
        <v>226</v>
      </c>
      <c r="B55" s="190">
        <v>81228.639999999999</v>
      </c>
      <c r="C55" s="191"/>
    </row>
    <row r="56" spans="1:3">
      <c r="A56" t="s">
        <v>1555</v>
      </c>
      <c r="B56" s="190"/>
      <c r="C56" s="191"/>
    </row>
    <row r="57" spans="1:3">
      <c r="A57" t="s">
        <v>1362</v>
      </c>
      <c r="B57" s="190">
        <v>8538038.9199999999</v>
      </c>
      <c r="C57" s="191"/>
    </row>
    <row r="58" spans="1:3">
      <c r="A58" t="s">
        <v>808</v>
      </c>
      <c r="B58" s="190"/>
      <c r="C58" s="191"/>
    </row>
    <row r="59" spans="1:3">
      <c r="B59" s="190"/>
      <c r="C59" s="191"/>
    </row>
    <row r="60" spans="1:3">
      <c r="B60" s="190"/>
      <c r="C60" s="191"/>
    </row>
    <row r="61" spans="1:3">
      <c r="A61" s="187" t="s">
        <v>770</v>
      </c>
      <c r="B61" s="190"/>
      <c r="C61" s="191"/>
    </row>
    <row r="62" spans="1:3">
      <c r="A62" t="s">
        <v>1200</v>
      </c>
      <c r="B62" s="190"/>
      <c r="C62" s="191"/>
    </row>
    <row r="63" spans="1:3">
      <c r="A63" t="s">
        <v>1501</v>
      </c>
      <c r="B63" s="190">
        <v>392154.31</v>
      </c>
      <c r="C63" s="191"/>
    </row>
    <row r="64" spans="1:3">
      <c r="A64" t="s">
        <v>1619</v>
      </c>
      <c r="B64" s="190">
        <v>33714.11</v>
      </c>
      <c r="C64" s="191"/>
    </row>
    <row r="65" spans="1:3">
      <c r="A65" t="s">
        <v>859</v>
      </c>
      <c r="B65" s="190">
        <v>67438.59</v>
      </c>
      <c r="C65" s="191"/>
    </row>
    <row r="66" spans="1:3">
      <c r="A66" t="s">
        <v>692</v>
      </c>
      <c r="B66" s="190">
        <v>746000</v>
      </c>
      <c r="C66" s="191"/>
    </row>
    <row r="67" spans="1:3">
      <c r="A67" t="s">
        <v>660</v>
      </c>
      <c r="B67" s="190">
        <v>91300</v>
      </c>
      <c r="C67" s="191"/>
    </row>
    <row r="68" spans="1:3">
      <c r="A68" t="s">
        <v>1521</v>
      </c>
      <c r="B68" s="190">
        <v>38587.800000000003</v>
      </c>
      <c r="C68" s="191"/>
    </row>
    <row r="69" spans="1:3">
      <c r="A69" t="s">
        <v>1128</v>
      </c>
      <c r="B69" s="190">
        <v>159999.96</v>
      </c>
      <c r="C69" s="191"/>
    </row>
    <row r="70" spans="1:3">
      <c r="A70" t="s">
        <v>960</v>
      </c>
      <c r="B70" s="190">
        <v>413333.28</v>
      </c>
      <c r="C70" s="191"/>
    </row>
    <row r="71" spans="1:3">
      <c r="A71" t="s">
        <v>876</v>
      </c>
      <c r="B71" s="190">
        <v>16814.849999999999</v>
      </c>
      <c r="C71" s="191"/>
    </row>
    <row r="72" spans="1:3">
      <c r="A72" t="s">
        <v>1274</v>
      </c>
      <c r="B72" s="190">
        <v>50147</v>
      </c>
      <c r="C72" s="191"/>
    </row>
    <row r="73" spans="1:3">
      <c r="A73" t="s">
        <v>1252</v>
      </c>
      <c r="B73" s="190">
        <v>238074.71</v>
      </c>
      <c r="C73" s="191"/>
    </row>
    <row r="74" spans="1:3">
      <c r="A74" t="s">
        <v>1131</v>
      </c>
      <c r="B74" s="190">
        <v>17592.18</v>
      </c>
      <c r="C74" s="191"/>
    </row>
    <row r="75" spans="1:3">
      <c r="A75" t="s">
        <v>448</v>
      </c>
      <c r="B75" s="190">
        <v>19485.23</v>
      </c>
      <c r="C75" s="191"/>
    </row>
    <row r="76" spans="1:3">
      <c r="A76" t="s">
        <v>97</v>
      </c>
      <c r="B76" s="190">
        <v>60.82</v>
      </c>
      <c r="C76" s="191"/>
    </row>
    <row r="77" spans="1:3">
      <c r="A77" t="s">
        <v>411</v>
      </c>
      <c r="B77" s="190">
        <v>1104.69</v>
      </c>
      <c r="C77" s="191"/>
    </row>
    <row r="78" spans="1:3">
      <c r="A78" t="s">
        <v>222</v>
      </c>
      <c r="B78" s="190">
        <v>22188.18</v>
      </c>
      <c r="C78" s="191"/>
    </row>
    <row r="79" spans="1:3">
      <c r="A79" t="s">
        <v>591</v>
      </c>
      <c r="B79" s="190">
        <v>21625</v>
      </c>
      <c r="C79" s="191"/>
    </row>
    <row r="80" spans="1:3">
      <c r="A80" t="s">
        <v>1421</v>
      </c>
      <c r="B80" s="190">
        <v>251983.7</v>
      </c>
      <c r="C80" s="191"/>
    </row>
    <row r="81" spans="1:3">
      <c r="A81" t="s">
        <v>509</v>
      </c>
      <c r="B81" s="190">
        <v>6000</v>
      </c>
      <c r="C81" s="191"/>
    </row>
    <row r="82" spans="1:3">
      <c r="A82" t="s">
        <v>325</v>
      </c>
      <c r="B82" s="190">
        <v>28370</v>
      </c>
      <c r="C82" s="191"/>
    </row>
    <row r="83" spans="1:3">
      <c r="A83" t="s">
        <v>862</v>
      </c>
      <c r="B83" s="190">
        <v>55871.68</v>
      </c>
      <c r="C83" s="191"/>
    </row>
    <row r="84" spans="1:3">
      <c r="A84" t="s">
        <v>1555</v>
      </c>
      <c r="B84" s="190"/>
      <c r="C84" s="191"/>
    </row>
    <row r="85" spans="1:3">
      <c r="A85" t="s">
        <v>916</v>
      </c>
      <c r="B85" s="190">
        <v>2671846.09</v>
      </c>
      <c r="C85" s="191">
        <v>2671846.09</v>
      </c>
    </row>
    <row r="86" spans="1:3">
      <c r="B86" s="190"/>
      <c r="C86" s="191"/>
    </row>
    <row r="87" spans="1:3">
      <c r="A87" t="s">
        <v>605</v>
      </c>
      <c r="B87" s="190"/>
      <c r="C87" s="191"/>
    </row>
    <row r="88" spans="1:3">
      <c r="A88" t="s">
        <v>864</v>
      </c>
      <c r="B88" s="190">
        <v>2813333.43</v>
      </c>
      <c r="C88" s="191"/>
    </row>
    <row r="89" spans="1:3">
      <c r="A89" t="s">
        <v>943</v>
      </c>
      <c r="B89" s="190">
        <v>354323.52</v>
      </c>
      <c r="C89" s="191"/>
    </row>
    <row r="90" spans="1:3">
      <c r="A90" t="s">
        <v>1521</v>
      </c>
      <c r="B90" s="190">
        <v>5844.69</v>
      </c>
      <c r="C90" s="191"/>
    </row>
    <row r="91" spans="1:3">
      <c r="A91" t="s">
        <v>944</v>
      </c>
      <c r="B91" s="190">
        <v>27325.93</v>
      </c>
      <c r="C91" s="191"/>
    </row>
    <row r="92" spans="1:3">
      <c r="A92" t="s">
        <v>1555</v>
      </c>
      <c r="B92" s="190"/>
      <c r="C92" s="191"/>
    </row>
    <row r="93" spans="1:3">
      <c r="A93" t="s">
        <v>787</v>
      </c>
      <c r="B93" s="190">
        <v>3200827.57</v>
      </c>
      <c r="C93" s="191">
        <v>3200827.57</v>
      </c>
    </row>
    <row r="94" spans="1:3">
      <c r="A94" t="s">
        <v>1555</v>
      </c>
      <c r="B94" s="190"/>
      <c r="C94" s="191"/>
    </row>
    <row r="95" spans="1:3">
      <c r="A95" t="s">
        <v>788</v>
      </c>
      <c r="B95" s="190">
        <v>5872673.6600000001</v>
      </c>
      <c r="C95" s="191"/>
    </row>
    <row r="96" spans="1:3">
      <c r="A96" t="s">
        <v>1532</v>
      </c>
      <c r="B96" s="190"/>
      <c r="C96" s="191"/>
    </row>
    <row r="97" spans="1:3">
      <c r="A97" t="s">
        <v>1177</v>
      </c>
      <c r="B97" s="190">
        <v>12284</v>
      </c>
      <c r="C97" s="191"/>
    </row>
    <row r="98" spans="1:3">
      <c r="A98" t="s">
        <v>964</v>
      </c>
      <c r="B98" s="190">
        <v>421612.43</v>
      </c>
      <c r="C98" s="191"/>
    </row>
    <row r="99" spans="1:3">
      <c r="A99" t="s">
        <v>965</v>
      </c>
      <c r="B99" s="190">
        <v>1148879.31</v>
      </c>
      <c r="C99" s="191"/>
    </row>
    <row r="100" spans="1:3">
      <c r="A100" t="s">
        <v>968</v>
      </c>
      <c r="B100" s="190">
        <v>-1687.21</v>
      </c>
      <c r="C100" s="191"/>
    </row>
    <row r="101" spans="1:3">
      <c r="B101" s="190"/>
      <c r="C101" s="191"/>
    </row>
    <row r="102" spans="1:3">
      <c r="A102" t="s">
        <v>667</v>
      </c>
      <c r="B102" s="190">
        <v>1084276.73</v>
      </c>
      <c r="C102" s="191"/>
    </row>
    <row r="103" spans="1:3">
      <c r="A103" t="s">
        <v>1555</v>
      </c>
      <c r="B103" s="190"/>
      <c r="C103" s="191"/>
    </row>
    <row r="104" spans="1:3">
      <c r="A104" t="s">
        <v>1588</v>
      </c>
      <c r="B104" s="190">
        <v>2665365.2599999998</v>
      </c>
      <c r="C104" s="191">
        <v>2665365.2599999998</v>
      </c>
    </row>
    <row r="105" spans="1:3">
      <c r="A105" t="s">
        <v>843</v>
      </c>
      <c r="B105" s="190">
        <v>8538038.9199999999</v>
      </c>
      <c r="C105" s="191"/>
    </row>
    <row r="106" spans="1:3">
      <c r="A106" t="s">
        <v>808</v>
      </c>
      <c r="B106" s="192"/>
      <c r="C106" s="193"/>
    </row>
  </sheetData>
  <mergeCells count="1">
    <mergeCell ref="B3:C3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/>
  <dimension ref="A1:E71"/>
  <sheetViews>
    <sheetView workbookViewId="0">
      <pane ySplit="1" topLeftCell="A2" activePane="bottomLeft" state="frozenSplit"/>
      <selection sqref="A1:XFD1"/>
      <selection pane="bottomLeft" activeCell="C35" sqref="C35"/>
    </sheetView>
  </sheetViews>
  <sheetFormatPr baseColWidth="10" defaultRowHeight="16" x14ac:dyDescent="0"/>
  <cols>
    <col min="1" max="1" width="13.42578125" style="487" bestFit="1" customWidth="1"/>
    <col min="2" max="2" width="32" style="434" customWidth="1"/>
    <col min="3" max="3" width="32.5703125" style="434" bestFit="1" customWidth="1"/>
    <col min="4" max="4" width="33.28515625" style="434" bestFit="1" customWidth="1"/>
    <col min="5" max="16384" width="10.7109375" style="299"/>
  </cols>
  <sheetData>
    <row r="1" spans="1:5" s="297" customFormat="1">
      <c r="A1" s="488" t="s">
        <v>1253</v>
      </c>
      <c r="B1" s="490" t="s">
        <v>1254</v>
      </c>
      <c r="C1" s="490" t="s">
        <v>1510</v>
      </c>
      <c r="D1" s="490" t="s">
        <v>147</v>
      </c>
      <c r="E1" s="297" t="s">
        <v>148</v>
      </c>
    </row>
    <row r="2" spans="1:5">
      <c r="A2" s="429">
        <v>10100000</v>
      </c>
      <c r="B2" s="434" t="s">
        <v>1132</v>
      </c>
      <c r="C2" s="434" t="s">
        <v>747</v>
      </c>
      <c r="D2" s="434" t="s">
        <v>1318</v>
      </c>
    </row>
    <row r="3" spans="1:5">
      <c r="A3" s="429">
        <v>10610000</v>
      </c>
      <c r="B3" s="434" t="s">
        <v>1442</v>
      </c>
      <c r="C3" s="434" t="s">
        <v>1255</v>
      </c>
      <c r="D3" s="434" t="s">
        <v>1426</v>
      </c>
    </row>
    <row r="4" spans="1:5">
      <c r="A4" s="429">
        <v>10</v>
      </c>
      <c r="B4" s="434" t="s">
        <v>1120</v>
      </c>
    </row>
    <row r="5" spans="1:5">
      <c r="A5" s="429"/>
    </row>
    <row r="6" spans="1:5">
      <c r="A6" s="429">
        <v>11900000</v>
      </c>
      <c r="B6" s="434" t="s">
        <v>585</v>
      </c>
      <c r="C6" s="434" t="s">
        <v>1212</v>
      </c>
      <c r="D6" s="434" t="s">
        <v>1160</v>
      </c>
    </row>
    <row r="7" spans="1:5">
      <c r="A7" s="429"/>
      <c r="D7" s="491"/>
    </row>
    <row r="8" spans="1:5">
      <c r="A8" s="429">
        <v>16400000</v>
      </c>
      <c r="B8" s="497" t="s">
        <v>1523</v>
      </c>
      <c r="C8" s="434" t="s">
        <v>771</v>
      </c>
      <c r="D8" s="434" t="s">
        <v>772</v>
      </c>
    </row>
    <row r="9" spans="1:5">
      <c r="A9" s="429">
        <v>16</v>
      </c>
      <c r="B9" s="497" t="s">
        <v>1343</v>
      </c>
    </row>
    <row r="10" spans="1:5">
      <c r="A10" s="429"/>
    </row>
    <row r="11" spans="1:5">
      <c r="A11" s="429">
        <v>1</v>
      </c>
      <c r="B11" s="500" t="s">
        <v>989</v>
      </c>
      <c r="C11" s="434" t="s">
        <v>1066</v>
      </c>
      <c r="D11" s="434" t="s">
        <v>1067</v>
      </c>
    </row>
    <row r="12" spans="1:5">
      <c r="A12" s="429"/>
    </row>
    <row r="13" spans="1:5">
      <c r="A13" s="429"/>
      <c r="B13" s="434" t="s">
        <v>774</v>
      </c>
      <c r="C13" s="434" t="s">
        <v>773</v>
      </c>
      <c r="D13" s="497" t="s">
        <v>149</v>
      </c>
    </row>
    <row r="14" spans="1:5">
      <c r="A14" s="429"/>
      <c r="B14" s="434" t="s">
        <v>766</v>
      </c>
      <c r="C14" s="434" t="s">
        <v>773</v>
      </c>
      <c r="D14" s="497" t="s">
        <v>149</v>
      </c>
    </row>
    <row r="15" spans="1:5">
      <c r="A15" s="429"/>
      <c r="B15" s="434" t="s">
        <v>767</v>
      </c>
      <c r="C15" s="434" t="s">
        <v>773</v>
      </c>
      <c r="D15" s="497" t="s">
        <v>149</v>
      </c>
    </row>
    <row r="16" spans="1:5">
      <c r="A16" s="429"/>
      <c r="B16" s="434" t="s">
        <v>699</v>
      </c>
      <c r="C16" s="434" t="s">
        <v>773</v>
      </c>
      <c r="D16" s="497" t="s">
        <v>149</v>
      </c>
    </row>
    <row r="17" spans="1:4">
      <c r="A17" s="429"/>
      <c r="B17" s="434" t="s">
        <v>523</v>
      </c>
      <c r="C17" s="434" t="s">
        <v>1097</v>
      </c>
    </row>
    <row r="18" spans="1:4">
      <c r="A18" s="429">
        <v>215</v>
      </c>
      <c r="B18" s="434" t="s">
        <v>1096</v>
      </c>
    </row>
    <row r="19" spans="1:4">
      <c r="A19" s="429"/>
      <c r="B19" s="434" t="s">
        <v>934</v>
      </c>
    </row>
    <row r="20" spans="1:4">
      <c r="A20" s="429"/>
      <c r="B20" s="434" t="s">
        <v>1107</v>
      </c>
    </row>
    <row r="21" spans="1:4">
      <c r="A21" s="429">
        <v>21840000</v>
      </c>
      <c r="B21" s="434" t="s">
        <v>1261</v>
      </c>
      <c r="C21" s="434" t="s">
        <v>1108</v>
      </c>
      <c r="D21" s="434" t="s">
        <v>1108</v>
      </c>
    </row>
    <row r="22" spans="1:4">
      <c r="A22" s="429">
        <v>21860000</v>
      </c>
      <c r="B22" s="434" t="s">
        <v>1182</v>
      </c>
      <c r="C22" s="434" t="s">
        <v>1183</v>
      </c>
    </row>
    <row r="23" spans="1:4">
      <c r="A23" s="429">
        <v>218</v>
      </c>
      <c r="B23" s="434" t="s">
        <v>1367</v>
      </c>
      <c r="C23" s="434" t="s">
        <v>1425</v>
      </c>
    </row>
    <row r="24" spans="1:4">
      <c r="A24" s="429">
        <v>21</v>
      </c>
      <c r="B24" s="434" t="s">
        <v>169</v>
      </c>
      <c r="C24" s="434" t="s">
        <v>1614</v>
      </c>
      <c r="D24" s="434" t="s">
        <v>1109</v>
      </c>
    </row>
    <row r="25" spans="1:4">
      <c r="A25" s="429"/>
    </row>
    <row r="26" spans="1:4">
      <c r="A26" s="429">
        <v>27500000</v>
      </c>
      <c r="B26" s="434" t="s">
        <v>1101</v>
      </c>
      <c r="C26" s="434" t="s">
        <v>1112</v>
      </c>
      <c r="D26" s="434" t="s">
        <v>1113</v>
      </c>
    </row>
    <row r="27" spans="1:4">
      <c r="A27" s="429">
        <v>27</v>
      </c>
      <c r="B27" s="434" t="s">
        <v>1114</v>
      </c>
      <c r="D27" s="434" t="s">
        <v>1115</v>
      </c>
    </row>
    <row r="28" spans="1:4">
      <c r="A28" s="429"/>
    </row>
    <row r="29" spans="1:4">
      <c r="A29" s="429">
        <v>28050000</v>
      </c>
      <c r="B29" s="434" t="s">
        <v>104</v>
      </c>
      <c r="C29" s="434" t="s">
        <v>1494</v>
      </c>
      <c r="D29" s="434" t="s">
        <v>170</v>
      </c>
    </row>
    <row r="30" spans="1:4" ht="32">
      <c r="A30" s="429">
        <v>280</v>
      </c>
      <c r="B30" s="434" t="s">
        <v>45</v>
      </c>
      <c r="C30" s="434" t="s">
        <v>350</v>
      </c>
      <c r="D30" s="434" t="s">
        <v>593</v>
      </c>
    </row>
    <row r="31" spans="1:4">
      <c r="A31" s="429"/>
    </row>
    <row r="32" spans="1:4">
      <c r="A32" s="429">
        <v>28</v>
      </c>
      <c r="B32" s="434" t="s">
        <v>594</v>
      </c>
      <c r="C32" s="434" t="s">
        <v>804</v>
      </c>
      <c r="D32" s="434" t="s">
        <v>473</v>
      </c>
    </row>
    <row r="33" spans="1:4">
      <c r="A33" s="429"/>
    </row>
    <row r="34" spans="1:4">
      <c r="A34" s="429"/>
    </row>
    <row r="35" spans="1:4">
      <c r="A35" s="429">
        <v>32100000</v>
      </c>
      <c r="B35" s="434" t="s">
        <v>590</v>
      </c>
      <c r="C35" s="434" t="s">
        <v>657</v>
      </c>
    </row>
    <row r="36" spans="1:4">
      <c r="A36" s="429">
        <v>32600000</v>
      </c>
      <c r="B36" s="434" t="s">
        <v>623</v>
      </c>
      <c r="C36" s="434" t="s">
        <v>1206</v>
      </c>
      <c r="D36" s="434" t="s">
        <v>1207</v>
      </c>
    </row>
    <row r="37" spans="1:4">
      <c r="A37" s="429">
        <v>32</v>
      </c>
      <c r="B37" s="434" t="s">
        <v>1380</v>
      </c>
      <c r="C37" s="434" t="s">
        <v>351</v>
      </c>
    </row>
    <row r="38" spans="1:4">
      <c r="A38" s="429"/>
    </row>
    <row r="39" spans="1:4">
      <c r="A39" s="429">
        <v>37000000</v>
      </c>
    </row>
    <row r="40" spans="1:4">
      <c r="A40" s="429">
        <v>37002900</v>
      </c>
    </row>
    <row r="41" spans="1:4">
      <c r="A41" s="429">
        <v>37</v>
      </c>
    </row>
    <row r="42" spans="1:4">
      <c r="A42" s="429">
        <v>3</v>
      </c>
    </row>
    <row r="43" spans="1:4">
      <c r="A43" s="429"/>
    </row>
    <row r="44" spans="1:4">
      <c r="A44" s="429">
        <v>40100000</v>
      </c>
    </row>
    <row r="45" spans="1:4">
      <c r="A45" s="429" t="s">
        <v>1383</v>
      </c>
    </row>
    <row r="46" spans="1:4">
      <c r="A46" s="429">
        <v>40910000</v>
      </c>
    </row>
    <row r="47" spans="1:4">
      <c r="A47" s="429">
        <v>40</v>
      </c>
    </row>
    <row r="48" spans="1:4">
      <c r="A48" s="429"/>
    </row>
    <row r="49" spans="1:4">
      <c r="A49" s="429">
        <v>41100000</v>
      </c>
      <c r="B49" s="434" t="s">
        <v>1384</v>
      </c>
    </row>
    <row r="50" spans="1:4">
      <c r="A50" s="429" t="s">
        <v>1385</v>
      </c>
      <c r="B50" s="434" t="s">
        <v>685</v>
      </c>
    </row>
    <row r="51" spans="1:4">
      <c r="A51" s="429">
        <v>41600000</v>
      </c>
      <c r="B51" s="434" t="s">
        <v>430</v>
      </c>
    </row>
    <row r="52" spans="1:4">
      <c r="A52" s="429">
        <v>41</v>
      </c>
      <c r="B52" s="434" t="s">
        <v>606</v>
      </c>
      <c r="C52" s="434" t="s">
        <v>475</v>
      </c>
      <c r="D52" s="434" t="s">
        <v>619</v>
      </c>
    </row>
    <row r="53" spans="1:4">
      <c r="A53" s="429"/>
    </row>
    <row r="54" spans="1:4">
      <c r="A54" s="429"/>
    </row>
    <row r="55" spans="1:4">
      <c r="A55" s="429">
        <v>42100000</v>
      </c>
      <c r="B55" s="434" t="s">
        <v>453</v>
      </c>
    </row>
    <row r="56" spans="1:4">
      <c r="A56" s="429"/>
      <c r="B56" s="434" t="s">
        <v>1047</v>
      </c>
      <c r="C56" s="434" t="s">
        <v>1361</v>
      </c>
    </row>
    <row r="57" spans="1:4">
      <c r="A57" s="429">
        <v>42</v>
      </c>
      <c r="B57" s="434" t="s">
        <v>620</v>
      </c>
    </row>
    <row r="58" spans="1:4">
      <c r="A58" s="429"/>
    </row>
    <row r="59" spans="1:4">
      <c r="A59" s="429">
        <v>43</v>
      </c>
      <c r="B59" s="434" t="s">
        <v>1500</v>
      </c>
      <c r="C59" s="434" t="s">
        <v>1013</v>
      </c>
      <c r="D59" s="434" t="s">
        <v>1014</v>
      </c>
    </row>
    <row r="60" spans="1:4">
      <c r="A60" s="429"/>
    </row>
    <row r="61" spans="1:4">
      <c r="A61" s="429">
        <v>44</v>
      </c>
      <c r="B61" s="434" t="s">
        <v>1175</v>
      </c>
      <c r="C61" s="434" t="s">
        <v>1176</v>
      </c>
      <c r="D61" s="434" t="s">
        <v>1179</v>
      </c>
    </row>
    <row r="62" spans="1:4">
      <c r="A62" s="429"/>
    </row>
    <row r="63" spans="1:4">
      <c r="A63" s="429">
        <v>45500000</v>
      </c>
      <c r="B63" s="434" t="s">
        <v>1184</v>
      </c>
      <c r="C63" s="434" t="s">
        <v>724</v>
      </c>
    </row>
    <row r="64" spans="1:4">
      <c r="A64" s="429">
        <v>45550000</v>
      </c>
      <c r="B64" s="434" t="s">
        <v>1351</v>
      </c>
    </row>
    <row r="65" spans="1:3">
      <c r="A65" s="429">
        <v>45</v>
      </c>
      <c r="B65" s="434" t="s">
        <v>1369</v>
      </c>
    </row>
    <row r="66" spans="1:3">
      <c r="A66" s="429"/>
    </row>
    <row r="67" spans="1:3" ht="32">
      <c r="A67" s="429">
        <v>46700000</v>
      </c>
      <c r="B67" s="434" t="s">
        <v>1587</v>
      </c>
      <c r="C67" s="434" t="s">
        <v>1479</v>
      </c>
    </row>
    <row r="68" spans="1:3">
      <c r="A68" s="429">
        <v>46</v>
      </c>
      <c r="B68" s="434" t="s">
        <v>1369</v>
      </c>
    </row>
    <row r="69" spans="1:3">
      <c r="A69" s="429"/>
    </row>
    <row r="70" spans="1:3">
      <c r="A70" s="429">
        <v>48600000</v>
      </c>
      <c r="B70" s="434" t="s">
        <v>1315</v>
      </c>
    </row>
    <row r="71" spans="1:3">
      <c r="A71" s="429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 enableFormatConditionsCalculation="0"/>
  <dimension ref="A1:F191"/>
  <sheetViews>
    <sheetView workbookViewId="0">
      <selection activeCell="H6" sqref="H6"/>
    </sheetView>
  </sheetViews>
  <sheetFormatPr baseColWidth="10" defaultRowHeight="17" x14ac:dyDescent="0"/>
  <cols>
    <col min="1" max="1" width="11.5703125" style="611" customWidth="1"/>
    <col min="2" max="2" width="37.85546875" style="611" customWidth="1"/>
    <col min="3" max="3" width="11.7109375" style="611" customWidth="1"/>
    <col min="4" max="6" width="11.5703125" style="612" customWidth="1"/>
  </cols>
  <sheetData>
    <row r="1" spans="1:6">
      <c r="C1" s="815" t="s">
        <v>107</v>
      </c>
      <c r="D1" s="815"/>
      <c r="E1" s="815" t="s">
        <v>795</v>
      </c>
      <c r="F1" s="815"/>
    </row>
    <row r="2" spans="1:6">
      <c r="A2" s="611" t="s">
        <v>108</v>
      </c>
      <c r="B2" s="611" t="s">
        <v>305</v>
      </c>
      <c r="C2" s="611" t="s">
        <v>306</v>
      </c>
      <c r="D2" s="612" t="s">
        <v>1504</v>
      </c>
      <c r="E2" s="612" t="s">
        <v>306</v>
      </c>
      <c r="F2" s="612" t="s">
        <v>109</v>
      </c>
    </row>
    <row r="3" spans="1:6">
      <c r="A3" s="613" t="s">
        <v>1505</v>
      </c>
      <c r="B3" s="613" t="s">
        <v>1132</v>
      </c>
      <c r="D3" s="612">
        <v>365830.69</v>
      </c>
      <c r="F3" s="612">
        <v>365830.69</v>
      </c>
    </row>
    <row r="4" spans="1:6">
      <c r="A4" s="613" t="s">
        <v>1507</v>
      </c>
      <c r="B4" s="613" t="s">
        <v>1313</v>
      </c>
      <c r="D4" s="612">
        <v>936.9</v>
      </c>
      <c r="F4" s="612">
        <v>936.9</v>
      </c>
    </row>
    <row r="5" spans="1:6">
      <c r="A5" s="613" t="s">
        <v>1314</v>
      </c>
      <c r="B5" s="613" t="s">
        <v>1269</v>
      </c>
      <c r="D5" s="612">
        <v>366767.59</v>
      </c>
      <c r="F5" s="612">
        <v>366767.59</v>
      </c>
    </row>
    <row r="6" spans="1:6">
      <c r="A6" s="613" t="s">
        <v>1270</v>
      </c>
      <c r="B6" s="613" t="s">
        <v>1559</v>
      </c>
      <c r="C6" s="611">
        <v>201233.72</v>
      </c>
      <c r="E6" s="612">
        <v>201233.72</v>
      </c>
    </row>
    <row r="7" spans="1:6">
      <c r="A7" s="613" t="s">
        <v>1522</v>
      </c>
      <c r="B7" s="613" t="s">
        <v>1523</v>
      </c>
      <c r="C7" s="611">
        <v>1575.67</v>
      </c>
      <c r="D7" s="612">
        <v>91461.88</v>
      </c>
      <c r="F7" s="612">
        <v>89886.21</v>
      </c>
    </row>
    <row r="8" spans="1:6">
      <c r="A8" s="613" t="s">
        <v>1342</v>
      </c>
      <c r="B8" s="613" t="s">
        <v>1343</v>
      </c>
      <c r="C8" s="611">
        <v>1575.67</v>
      </c>
      <c r="D8" s="612">
        <v>91461.88</v>
      </c>
      <c r="F8" s="612">
        <v>89886.21</v>
      </c>
    </row>
    <row r="9" spans="1:6">
      <c r="A9" s="613" t="s">
        <v>1344</v>
      </c>
      <c r="B9" s="613" t="s">
        <v>989</v>
      </c>
      <c r="C9" s="611">
        <v>202809.39</v>
      </c>
      <c r="D9" s="612">
        <v>458229.47</v>
      </c>
      <c r="E9" s="612">
        <v>201233.72</v>
      </c>
      <c r="F9" s="612">
        <v>456653.8</v>
      </c>
    </row>
    <row r="10" spans="1:6">
      <c r="A10" s="613" t="s">
        <v>990</v>
      </c>
      <c r="B10" s="613" t="s">
        <v>991</v>
      </c>
      <c r="C10" s="611">
        <v>10766.71</v>
      </c>
      <c r="E10" s="612">
        <v>10766.71</v>
      </c>
    </row>
    <row r="11" spans="1:6">
      <c r="A11" s="613" t="s">
        <v>992</v>
      </c>
      <c r="B11" s="613" t="s">
        <v>854</v>
      </c>
      <c r="C11" s="611">
        <v>10766.71</v>
      </c>
      <c r="E11" s="612">
        <v>10766.71</v>
      </c>
    </row>
    <row r="12" spans="1:6">
      <c r="A12" s="613" t="s">
        <v>855</v>
      </c>
      <c r="B12" s="613" t="s">
        <v>1310</v>
      </c>
      <c r="C12" s="611">
        <v>202853.55</v>
      </c>
      <c r="E12" s="612">
        <v>202853.55</v>
      </c>
    </row>
    <row r="13" spans="1:6">
      <c r="A13" s="613" t="s">
        <v>1311</v>
      </c>
      <c r="B13" s="613" t="s">
        <v>1153</v>
      </c>
      <c r="C13" s="611">
        <v>152636.76999999999</v>
      </c>
      <c r="E13" s="612">
        <v>152636.76999999999</v>
      </c>
    </row>
    <row r="14" spans="1:6">
      <c r="A14" s="613" t="s">
        <v>1154</v>
      </c>
      <c r="B14" s="613" t="s">
        <v>60</v>
      </c>
      <c r="C14" s="611">
        <v>67947.73</v>
      </c>
      <c r="E14" s="612">
        <v>67947.73</v>
      </c>
    </row>
    <row r="15" spans="1:6">
      <c r="A15" s="613" t="s">
        <v>313</v>
      </c>
      <c r="B15" s="613" t="s">
        <v>783</v>
      </c>
      <c r="C15" s="611">
        <v>37330.800000000003</v>
      </c>
      <c r="E15" s="612">
        <v>37330.800000000003</v>
      </c>
    </row>
    <row r="16" spans="1:6">
      <c r="A16" s="613" t="s">
        <v>784</v>
      </c>
      <c r="B16" s="613" t="s">
        <v>1525</v>
      </c>
      <c r="C16" s="611">
        <v>472.59</v>
      </c>
      <c r="E16" s="612">
        <v>472.59</v>
      </c>
    </row>
    <row r="17" spans="1:6">
      <c r="A17" s="613" t="s">
        <v>1323</v>
      </c>
      <c r="B17" s="613" t="s">
        <v>1028</v>
      </c>
      <c r="C17" s="611">
        <v>461241.44</v>
      </c>
      <c r="E17" s="612">
        <v>461241.44</v>
      </c>
    </row>
    <row r="18" spans="1:6">
      <c r="A18" s="613" t="s">
        <v>858</v>
      </c>
      <c r="B18" s="613" t="s">
        <v>686</v>
      </c>
      <c r="C18" s="611">
        <v>12797.19</v>
      </c>
      <c r="E18" s="612">
        <v>12797.19</v>
      </c>
    </row>
    <row r="19" spans="1:6">
      <c r="A19" s="613" t="s">
        <v>687</v>
      </c>
      <c r="B19" s="613" t="s">
        <v>688</v>
      </c>
      <c r="C19" s="611">
        <v>23616.76</v>
      </c>
      <c r="E19" s="612">
        <v>23616.76</v>
      </c>
    </row>
    <row r="20" spans="1:6">
      <c r="A20" s="613" t="s">
        <v>998</v>
      </c>
      <c r="B20" s="613" t="s">
        <v>1261</v>
      </c>
      <c r="C20" s="611">
        <v>12777.55</v>
      </c>
      <c r="E20" s="612">
        <v>12777.55</v>
      </c>
    </row>
    <row r="21" spans="1:6">
      <c r="A21" s="613" t="s">
        <v>999</v>
      </c>
      <c r="B21" s="613" t="s">
        <v>1166</v>
      </c>
      <c r="C21" s="611">
        <v>614.04</v>
      </c>
      <c r="E21" s="612">
        <v>614.04</v>
      </c>
    </row>
    <row r="22" spans="1:6">
      <c r="A22" s="613" t="s">
        <v>1167</v>
      </c>
      <c r="B22" s="613" t="s">
        <v>1000</v>
      </c>
      <c r="C22" s="611">
        <v>49805.54</v>
      </c>
      <c r="E22" s="612">
        <v>49805.54</v>
      </c>
    </row>
    <row r="23" spans="1:6">
      <c r="A23" s="613" t="s">
        <v>1001</v>
      </c>
      <c r="B23" s="613" t="s">
        <v>512</v>
      </c>
      <c r="C23" s="611">
        <v>511046.98</v>
      </c>
      <c r="E23" s="612">
        <v>511046.98</v>
      </c>
    </row>
    <row r="24" spans="1:6">
      <c r="A24" s="613" t="s">
        <v>513</v>
      </c>
      <c r="B24" s="613" t="s">
        <v>1502</v>
      </c>
      <c r="C24" s="611">
        <v>4539.93</v>
      </c>
      <c r="E24" s="612">
        <v>4539.93</v>
      </c>
    </row>
    <row r="25" spans="1:6">
      <c r="A25" s="613" t="s">
        <v>1594</v>
      </c>
      <c r="B25" s="613" t="s">
        <v>1464</v>
      </c>
      <c r="C25" s="611">
        <v>4539.93</v>
      </c>
      <c r="E25" s="612">
        <v>4539.93</v>
      </c>
    </row>
    <row r="26" spans="1:6">
      <c r="A26" s="613" t="s">
        <v>696</v>
      </c>
      <c r="B26" s="613" t="s">
        <v>521</v>
      </c>
      <c r="D26" s="612">
        <v>2138.1</v>
      </c>
      <c r="F26" s="612">
        <v>2138.1</v>
      </c>
    </row>
    <row r="27" spans="1:6">
      <c r="A27" s="613" t="s">
        <v>522</v>
      </c>
      <c r="B27" s="613" t="s">
        <v>697</v>
      </c>
      <c r="D27" s="612">
        <v>2138.1</v>
      </c>
      <c r="F27" s="612">
        <v>2138.1</v>
      </c>
    </row>
    <row r="28" spans="1:6">
      <c r="A28" s="613" t="s">
        <v>698</v>
      </c>
      <c r="B28" s="613" t="s">
        <v>514</v>
      </c>
      <c r="D28" s="612">
        <v>159869.54</v>
      </c>
      <c r="F28" s="612">
        <v>159869.54</v>
      </c>
    </row>
    <row r="29" spans="1:6">
      <c r="A29" s="613" t="s">
        <v>526</v>
      </c>
      <c r="B29" s="613" t="s">
        <v>621</v>
      </c>
      <c r="D29" s="612">
        <v>10338.66</v>
      </c>
      <c r="F29" s="612">
        <v>10338.66</v>
      </c>
    </row>
    <row r="30" spans="1:6">
      <c r="A30" s="613" t="s">
        <v>1334</v>
      </c>
      <c r="B30" s="613" t="s">
        <v>1590</v>
      </c>
      <c r="D30" s="612">
        <v>9037.11</v>
      </c>
      <c r="F30" s="612">
        <v>9037.11</v>
      </c>
    </row>
    <row r="31" spans="1:6">
      <c r="A31" s="613" t="s">
        <v>1591</v>
      </c>
      <c r="B31" s="613" t="s">
        <v>1592</v>
      </c>
      <c r="D31" s="612">
        <v>3173.33</v>
      </c>
      <c r="F31" s="612">
        <v>3173.33</v>
      </c>
    </row>
    <row r="32" spans="1:6">
      <c r="A32" s="613" t="s">
        <v>1593</v>
      </c>
      <c r="B32" s="613" t="s">
        <v>1444</v>
      </c>
      <c r="D32" s="612">
        <v>59.07</v>
      </c>
      <c r="F32" s="612">
        <v>59.07</v>
      </c>
    </row>
    <row r="33" spans="1:6">
      <c r="A33" s="613" t="s">
        <v>1445</v>
      </c>
      <c r="B33" s="613" t="s">
        <v>1446</v>
      </c>
      <c r="D33" s="612">
        <v>987.11</v>
      </c>
      <c r="F33" s="612">
        <v>987.11</v>
      </c>
    </row>
    <row r="34" spans="1:6">
      <c r="A34" s="613" t="s">
        <v>1273</v>
      </c>
      <c r="B34" s="613" t="s">
        <v>1333</v>
      </c>
      <c r="D34" s="612">
        <v>9137.7900000000009</v>
      </c>
      <c r="F34" s="612">
        <v>9137.7900000000009</v>
      </c>
    </row>
    <row r="35" spans="1:6">
      <c r="A35" s="613" t="s">
        <v>1391</v>
      </c>
      <c r="B35" s="613" t="s">
        <v>1392</v>
      </c>
      <c r="D35" s="612">
        <v>9311.73</v>
      </c>
      <c r="F35" s="612">
        <v>9311.73</v>
      </c>
    </row>
    <row r="36" spans="1:6">
      <c r="A36" s="613" t="s">
        <v>1319</v>
      </c>
      <c r="B36" s="613" t="s">
        <v>1492</v>
      </c>
      <c r="D36" s="612">
        <v>280.75</v>
      </c>
      <c r="F36" s="612">
        <v>280.75</v>
      </c>
    </row>
    <row r="37" spans="1:6">
      <c r="A37" s="613" t="s">
        <v>1607</v>
      </c>
      <c r="B37" s="613" t="s">
        <v>1403</v>
      </c>
      <c r="D37" s="612">
        <v>202195.09</v>
      </c>
      <c r="F37" s="612">
        <v>202195.09</v>
      </c>
    </row>
    <row r="38" spans="1:6">
      <c r="A38" s="613" t="s">
        <v>1404</v>
      </c>
      <c r="B38" s="613" t="s">
        <v>1405</v>
      </c>
      <c r="D38" s="612">
        <v>204333.19</v>
      </c>
      <c r="F38" s="612">
        <v>204333.19</v>
      </c>
    </row>
    <row r="39" spans="1:6">
      <c r="A39" s="613" t="s">
        <v>1406</v>
      </c>
      <c r="B39" s="613" t="s">
        <v>1407</v>
      </c>
      <c r="C39" s="611">
        <v>526353.62</v>
      </c>
      <c r="D39" s="612">
        <v>204333.19</v>
      </c>
      <c r="E39" s="612">
        <v>526353.62</v>
      </c>
      <c r="F39" s="612">
        <v>204333.19</v>
      </c>
    </row>
    <row r="40" spans="1:6">
      <c r="A40" s="613" t="s">
        <v>1408</v>
      </c>
      <c r="B40" s="613" t="s">
        <v>1242</v>
      </c>
      <c r="C40" s="611">
        <v>11499.72</v>
      </c>
      <c r="E40" s="612">
        <v>11499.72</v>
      </c>
    </row>
    <row r="41" spans="1:6">
      <c r="A41" s="613" t="s">
        <v>1243</v>
      </c>
      <c r="B41" s="613" t="s">
        <v>623</v>
      </c>
      <c r="C41" s="611">
        <v>1219.5899999999999</v>
      </c>
      <c r="E41" s="612">
        <v>1219.5899999999999</v>
      </c>
    </row>
    <row r="42" spans="1:6">
      <c r="A42" s="613" t="s">
        <v>1244</v>
      </c>
      <c r="B42" s="613" t="s">
        <v>1380</v>
      </c>
      <c r="C42" s="611">
        <v>12719.31</v>
      </c>
      <c r="E42" s="612">
        <v>12719.31</v>
      </c>
    </row>
    <row r="43" spans="1:6">
      <c r="A43" s="613" t="s">
        <v>1245</v>
      </c>
      <c r="B43" s="613" t="s">
        <v>1110</v>
      </c>
      <c r="C43" s="611">
        <v>5571.34</v>
      </c>
      <c r="E43" s="612">
        <v>5571.34</v>
      </c>
    </row>
    <row r="44" spans="1:6">
      <c r="A44" s="613" t="s">
        <v>959</v>
      </c>
      <c r="B44" s="613" t="s">
        <v>1370</v>
      </c>
      <c r="C44" s="611">
        <v>30329.39</v>
      </c>
      <c r="E44" s="612">
        <v>30329.39</v>
      </c>
    </row>
    <row r="45" spans="1:6">
      <c r="A45" s="613" t="s">
        <v>1371</v>
      </c>
      <c r="B45" s="613" t="s">
        <v>1171</v>
      </c>
      <c r="C45" s="611">
        <v>35900.730000000003</v>
      </c>
      <c r="E45" s="612">
        <v>35900.730000000003</v>
      </c>
    </row>
    <row r="46" spans="1:6">
      <c r="A46" s="613" t="s">
        <v>1172</v>
      </c>
      <c r="B46" s="613" t="s">
        <v>1345</v>
      </c>
      <c r="C46" s="611">
        <v>48620.04</v>
      </c>
      <c r="E46" s="612">
        <v>48620.04</v>
      </c>
    </row>
    <row r="47" spans="1:6">
      <c r="A47" s="613" t="s">
        <v>1346</v>
      </c>
      <c r="B47" s="613" t="s">
        <v>1347</v>
      </c>
      <c r="C47" s="611">
        <v>19547.689999999999</v>
      </c>
      <c r="D47" s="612">
        <v>47450.7</v>
      </c>
      <c r="F47" s="612">
        <v>27903.01</v>
      </c>
    </row>
    <row r="48" spans="1:6">
      <c r="A48" s="613" t="s">
        <v>1348</v>
      </c>
      <c r="B48" s="613" t="s">
        <v>873</v>
      </c>
      <c r="D48" s="612">
        <v>2358.46</v>
      </c>
      <c r="F48" s="612">
        <v>2358.46</v>
      </c>
    </row>
    <row r="49" spans="1:6">
      <c r="A49" s="613" t="s">
        <v>1383</v>
      </c>
      <c r="B49" s="613" t="s">
        <v>1292</v>
      </c>
      <c r="C49" s="611">
        <v>137336.37</v>
      </c>
      <c r="D49" s="612">
        <v>450119.83</v>
      </c>
      <c r="F49" s="612">
        <v>312783.46000000002</v>
      </c>
    </row>
    <row r="50" spans="1:6">
      <c r="A50" s="613" t="s">
        <v>110</v>
      </c>
      <c r="B50" s="613" t="s">
        <v>111</v>
      </c>
      <c r="C50" s="611">
        <v>1017.98</v>
      </c>
      <c r="E50" s="612">
        <v>1017.98</v>
      </c>
    </row>
    <row r="51" spans="1:6">
      <c r="A51" s="613" t="s">
        <v>1293</v>
      </c>
      <c r="B51" s="613" t="s">
        <v>1140</v>
      </c>
      <c r="C51" s="611">
        <v>2286.73</v>
      </c>
      <c r="E51" s="612">
        <v>2286.73</v>
      </c>
    </row>
    <row r="52" spans="1:6">
      <c r="A52" s="613" t="s">
        <v>1141</v>
      </c>
      <c r="B52" s="613" t="s">
        <v>1275</v>
      </c>
      <c r="C52" s="611">
        <v>160188.76999999999</v>
      </c>
      <c r="D52" s="612">
        <v>499928.99</v>
      </c>
      <c r="E52" s="612">
        <v>3304.71</v>
      </c>
      <c r="F52" s="612">
        <v>343044.93</v>
      </c>
    </row>
    <row r="53" spans="1:6">
      <c r="A53" s="613" t="s">
        <v>1276</v>
      </c>
      <c r="B53" s="613" t="s">
        <v>1384</v>
      </c>
      <c r="C53" s="611">
        <v>363265.27</v>
      </c>
      <c r="D53" s="612">
        <v>103244.99</v>
      </c>
      <c r="E53" s="612">
        <v>260020.28</v>
      </c>
    </row>
    <row r="54" spans="1:6">
      <c r="A54" s="613" t="s">
        <v>1385</v>
      </c>
      <c r="B54" s="613" t="s">
        <v>1450</v>
      </c>
      <c r="C54" s="611">
        <v>100062.89</v>
      </c>
      <c r="D54" s="612">
        <v>35351.519999999997</v>
      </c>
      <c r="E54" s="612">
        <v>64711.37</v>
      </c>
    </row>
    <row r="55" spans="1:6">
      <c r="A55" s="613" t="s">
        <v>264</v>
      </c>
      <c r="B55" s="613" t="s">
        <v>265</v>
      </c>
      <c r="C55" s="611">
        <v>8464.93</v>
      </c>
      <c r="E55" s="612">
        <v>8464.93</v>
      </c>
    </row>
    <row r="56" spans="1:6">
      <c r="A56" s="613" t="s">
        <v>1451</v>
      </c>
      <c r="B56" s="613" t="s">
        <v>430</v>
      </c>
      <c r="C56" s="611">
        <v>10280.58</v>
      </c>
      <c r="E56" s="612">
        <v>10280.58</v>
      </c>
    </row>
    <row r="57" spans="1:6">
      <c r="A57" s="613" t="s">
        <v>1452</v>
      </c>
      <c r="B57" s="613" t="s">
        <v>1625</v>
      </c>
      <c r="C57" s="611">
        <v>482073.67</v>
      </c>
      <c r="D57" s="612">
        <v>138596.51</v>
      </c>
      <c r="E57" s="612">
        <v>343477.16</v>
      </c>
    </row>
    <row r="58" spans="1:6">
      <c r="A58" s="613" t="s">
        <v>1124</v>
      </c>
      <c r="B58" s="613" t="s">
        <v>253</v>
      </c>
      <c r="C58" s="611">
        <v>40876.21</v>
      </c>
      <c r="D58" s="612">
        <v>41688.19</v>
      </c>
      <c r="F58" s="612">
        <v>811.98</v>
      </c>
    </row>
    <row r="59" spans="1:6">
      <c r="A59" s="613" t="s">
        <v>1603</v>
      </c>
      <c r="B59" s="613" t="s">
        <v>913</v>
      </c>
      <c r="C59" s="611">
        <v>12472.09</v>
      </c>
      <c r="E59" s="612">
        <v>12472.09</v>
      </c>
    </row>
    <row r="60" spans="1:6">
      <c r="A60" s="613" t="s">
        <v>914</v>
      </c>
      <c r="B60" s="613" t="s">
        <v>1070</v>
      </c>
      <c r="C60" s="611">
        <v>762.25</v>
      </c>
      <c r="D60" s="612">
        <v>866.06</v>
      </c>
      <c r="F60" s="612">
        <v>103.81</v>
      </c>
    </row>
    <row r="61" spans="1:6">
      <c r="A61" s="613" t="s">
        <v>1071</v>
      </c>
      <c r="B61" s="613" t="s">
        <v>1195</v>
      </c>
      <c r="C61" s="611">
        <v>54110.55</v>
      </c>
      <c r="D61" s="612">
        <v>42554.25</v>
      </c>
      <c r="E61" s="612">
        <v>12472.09</v>
      </c>
      <c r="F61" s="612">
        <v>915.79</v>
      </c>
    </row>
    <row r="62" spans="1:6">
      <c r="A62" s="613" t="s">
        <v>1034</v>
      </c>
      <c r="B62" s="613" t="s">
        <v>1035</v>
      </c>
      <c r="C62" s="611">
        <v>22796.62</v>
      </c>
      <c r="D62" s="612">
        <v>30404.240000000002</v>
      </c>
      <c r="F62" s="612">
        <v>7607.62</v>
      </c>
    </row>
    <row r="63" spans="1:6">
      <c r="A63" s="613" t="s">
        <v>1036</v>
      </c>
      <c r="B63" s="613" t="s">
        <v>549</v>
      </c>
      <c r="C63" s="611">
        <v>341.14</v>
      </c>
      <c r="D63" s="612">
        <v>319.2</v>
      </c>
      <c r="E63" s="612">
        <v>21.94</v>
      </c>
    </row>
    <row r="64" spans="1:6">
      <c r="A64" s="613" t="s">
        <v>550</v>
      </c>
      <c r="B64" s="613" t="s">
        <v>187</v>
      </c>
      <c r="D64" s="612">
        <v>1048.1400000000001</v>
      </c>
      <c r="F64" s="612">
        <v>1048.1400000000001</v>
      </c>
    </row>
    <row r="65" spans="1:6">
      <c r="A65" s="613" t="s">
        <v>188</v>
      </c>
      <c r="B65" s="613" t="s">
        <v>189</v>
      </c>
      <c r="C65" s="611">
        <v>2333.9899999999998</v>
      </c>
      <c r="D65" s="612">
        <v>5102.6899999999996</v>
      </c>
      <c r="F65" s="612">
        <v>2768.7</v>
      </c>
    </row>
    <row r="66" spans="1:6">
      <c r="A66" s="613" t="s">
        <v>190</v>
      </c>
      <c r="B66" s="613" t="s">
        <v>191</v>
      </c>
      <c r="C66" s="611">
        <v>3589.07</v>
      </c>
      <c r="D66" s="612">
        <v>4876.13</v>
      </c>
      <c r="F66" s="612">
        <v>1287.06</v>
      </c>
    </row>
    <row r="67" spans="1:6">
      <c r="A67" s="613" t="s">
        <v>192</v>
      </c>
      <c r="B67" s="613" t="s">
        <v>193</v>
      </c>
      <c r="C67" s="611">
        <v>2895</v>
      </c>
      <c r="D67" s="612">
        <v>5459.45</v>
      </c>
      <c r="F67" s="612">
        <v>2564.4499999999998</v>
      </c>
    </row>
    <row r="68" spans="1:6">
      <c r="A68" s="613" t="s">
        <v>194</v>
      </c>
      <c r="B68" s="613" t="s">
        <v>195</v>
      </c>
      <c r="D68" s="612">
        <v>391.69</v>
      </c>
      <c r="F68" s="612">
        <v>391.69</v>
      </c>
    </row>
    <row r="69" spans="1:6">
      <c r="A69" s="613" t="s">
        <v>196</v>
      </c>
      <c r="B69" s="613" t="s">
        <v>202</v>
      </c>
      <c r="C69" s="611">
        <v>31955.82</v>
      </c>
      <c r="D69" s="612">
        <v>47601.54</v>
      </c>
      <c r="E69" s="612">
        <v>21.94</v>
      </c>
      <c r="F69" s="612">
        <v>15667.66</v>
      </c>
    </row>
    <row r="70" spans="1:6">
      <c r="A70" s="613" t="s">
        <v>203</v>
      </c>
      <c r="B70" s="613" t="s">
        <v>79</v>
      </c>
      <c r="C70" s="611">
        <v>3811.23</v>
      </c>
      <c r="E70" s="612">
        <v>3811.23</v>
      </c>
    </row>
    <row r="71" spans="1:6">
      <c r="A71" s="613" t="s">
        <v>80</v>
      </c>
      <c r="B71" s="613" t="s">
        <v>99</v>
      </c>
      <c r="C71" s="611">
        <v>4124.2</v>
      </c>
      <c r="E71" s="612">
        <v>4124.2</v>
      </c>
    </row>
    <row r="72" spans="1:6">
      <c r="A72" s="613" t="s">
        <v>296</v>
      </c>
      <c r="B72" s="613" t="s">
        <v>290</v>
      </c>
      <c r="C72" s="611">
        <v>4889.91</v>
      </c>
      <c r="E72" s="612">
        <v>4889.91</v>
      </c>
    </row>
    <row r="73" spans="1:6">
      <c r="A73" s="613" t="s">
        <v>291</v>
      </c>
      <c r="B73" s="613" t="s">
        <v>292</v>
      </c>
      <c r="C73" s="611">
        <v>391.22</v>
      </c>
      <c r="E73" s="612">
        <v>391.22</v>
      </c>
    </row>
    <row r="74" spans="1:6">
      <c r="A74" s="613" t="s">
        <v>293</v>
      </c>
      <c r="B74" s="613" t="s">
        <v>294</v>
      </c>
      <c r="D74" s="612">
        <v>425.8</v>
      </c>
      <c r="F74" s="612">
        <v>425.8</v>
      </c>
    </row>
    <row r="75" spans="1:6">
      <c r="A75" s="613" t="s">
        <v>491</v>
      </c>
      <c r="B75" s="613" t="s">
        <v>492</v>
      </c>
      <c r="D75" s="612">
        <v>867.36</v>
      </c>
      <c r="F75" s="612">
        <v>867.36</v>
      </c>
    </row>
    <row r="76" spans="1:6">
      <c r="A76" s="613" t="s">
        <v>493</v>
      </c>
      <c r="B76" s="613" t="s">
        <v>398</v>
      </c>
      <c r="C76" s="611">
        <v>894.31</v>
      </c>
      <c r="D76" s="612">
        <v>5238.53</v>
      </c>
      <c r="F76" s="612">
        <v>4344.22</v>
      </c>
    </row>
    <row r="77" spans="1:6">
      <c r="A77" s="613" t="s">
        <v>399</v>
      </c>
      <c r="B77" s="613" t="s">
        <v>400</v>
      </c>
      <c r="D77" s="612">
        <v>37497.58</v>
      </c>
      <c r="F77" s="612">
        <v>37497.58</v>
      </c>
    </row>
    <row r="78" spans="1:6">
      <c r="A78" s="613" t="s">
        <v>287</v>
      </c>
      <c r="B78" s="613" t="s">
        <v>288</v>
      </c>
      <c r="D78" s="612">
        <v>391.22</v>
      </c>
      <c r="F78" s="612">
        <v>391.22</v>
      </c>
    </row>
    <row r="79" spans="1:6">
      <c r="A79" s="613" t="s">
        <v>266</v>
      </c>
      <c r="B79" s="613" t="s">
        <v>267</v>
      </c>
      <c r="D79" s="612">
        <v>129.79</v>
      </c>
      <c r="F79" s="612">
        <v>129.79</v>
      </c>
    </row>
    <row r="80" spans="1:6">
      <c r="A80" s="613" t="s">
        <v>268</v>
      </c>
      <c r="B80" s="613" t="s">
        <v>220</v>
      </c>
      <c r="D80" s="612">
        <v>121.02</v>
      </c>
      <c r="F80" s="612">
        <v>121.02</v>
      </c>
    </row>
    <row r="81" spans="1:6">
      <c r="A81" s="613" t="s">
        <v>289</v>
      </c>
      <c r="B81" s="613" t="s">
        <v>827</v>
      </c>
      <c r="C81" s="611">
        <v>14110.87</v>
      </c>
      <c r="D81" s="612">
        <v>44671.3</v>
      </c>
      <c r="E81" s="612">
        <v>13216.56</v>
      </c>
      <c r="F81" s="612">
        <v>43776.99</v>
      </c>
    </row>
    <row r="82" spans="1:6">
      <c r="A82" s="613" t="s">
        <v>537</v>
      </c>
      <c r="B82" s="613" t="s">
        <v>360</v>
      </c>
      <c r="C82" s="611">
        <v>3630.24</v>
      </c>
      <c r="E82" s="612">
        <v>3630.24</v>
      </c>
    </row>
    <row r="83" spans="1:6">
      <c r="A83" s="613" t="s">
        <v>567</v>
      </c>
      <c r="B83" s="613" t="s">
        <v>568</v>
      </c>
      <c r="C83" s="611">
        <v>866.75</v>
      </c>
      <c r="E83" s="612">
        <v>866.75</v>
      </c>
    </row>
    <row r="84" spans="1:6">
      <c r="A84" s="613" t="s">
        <v>531</v>
      </c>
      <c r="B84" s="613" t="s">
        <v>532</v>
      </c>
      <c r="C84" s="611">
        <v>4496.99</v>
      </c>
      <c r="E84" s="612">
        <v>4496.99</v>
      </c>
    </row>
    <row r="85" spans="1:6">
      <c r="A85" s="613" t="s">
        <v>362</v>
      </c>
      <c r="B85" s="613" t="s">
        <v>426</v>
      </c>
      <c r="D85" s="612">
        <v>4.13</v>
      </c>
      <c r="F85" s="612">
        <v>4.13</v>
      </c>
    </row>
    <row r="86" spans="1:6">
      <c r="A86" s="613" t="s">
        <v>427</v>
      </c>
      <c r="B86" s="613" t="s">
        <v>602</v>
      </c>
      <c r="D86" s="612">
        <v>4.13</v>
      </c>
      <c r="F86" s="612">
        <v>4.13</v>
      </c>
    </row>
    <row r="87" spans="1:6">
      <c r="A87" s="613" t="s">
        <v>603</v>
      </c>
      <c r="B87" s="613" t="s">
        <v>106</v>
      </c>
      <c r="C87" s="611">
        <v>3934.84</v>
      </c>
      <c r="E87" s="612">
        <v>3934.84</v>
      </c>
    </row>
    <row r="88" spans="1:6">
      <c r="A88" s="613" t="s">
        <v>558</v>
      </c>
      <c r="B88" s="613" t="s">
        <v>83</v>
      </c>
      <c r="C88" s="611">
        <v>4594.49</v>
      </c>
      <c r="D88" s="612">
        <v>1531.5</v>
      </c>
      <c r="E88" s="612">
        <v>3062.99</v>
      </c>
    </row>
    <row r="89" spans="1:6">
      <c r="A89" s="613" t="s">
        <v>84</v>
      </c>
      <c r="B89" s="613" t="s">
        <v>85</v>
      </c>
      <c r="C89" s="611">
        <v>2506.3000000000002</v>
      </c>
      <c r="D89" s="612">
        <v>835.43</v>
      </c>
      <c r="E89" s="612">
        <v>1670.87</v>
      </c>
    </row>
    <row r="90" spans="1:6">
      <c r="A90" s="613" t="s">
        <v>86</v>
      </c>
      <c r="B90" s="613" t="s">
        <v>32</v>
      </c>
      <c r="D90" s="612">
        <v>58415.4</v>
      </c>
      <c r="F90" s="612">
        <v>58415.4</v>
      </c>
    </row>
    <row r="91" spans="1:6">
      <c r="A91" s="613" t="s">
        <v>499</v>
      </c>
      <c r="B91" s="613" t="s">
        <v>748</v>
      </c>
      <c r="C91" s="611">
        <v>249.71</v>
      </c>
      <c r="D91" s="612">
        <v>83.26</v>
      </c>
      <c r="E91" s="612">
        <v>166.45</v>
      </c>
    </row>
    <row r="92" spans="1:6">
      <c r="A92" s="613" t="s">
        <v>751</v>
      </c>
      <c r="B92" s="613" t="s">
        <v>391</v>
      </c>
      <c r="C92" s="611">
        <v>881.72</v>
      </c>
      <c r="D92" s="612">
        <v>146.94999999999999</v>
      </c>
      <c r="E92" s="612">
        <v>734.77</v>
      </c>
    </row>
    <row r="93" spans="1:6">
      <c r="A93" s="613" t="s">
        <v>392</v>
      </c>
      <c r="B93" s="613" t="s">
        <v>393</v>
      </c>
      <c r="D93" s="612">
        <v>1200</v>
      </c>
      <c r="F93" s="612">
        <v>1200</v>
      </c>
    </row>
    <row r="94" spans="1:6">
      <c r="A94" s="613" t="s">
        <v>394</v>
      </c>
      <c r="B94" s="613" t="s">
        <v>1320</v>
      </c>
      <c r="C94" s="611">
        <v>12167.06</v>
      </c>
      <c r="D94" s="612">
        <v>62212.54</v>
      </c>
      <c r="E94" s="612">
        <v>9569.92</v>
      </c>
      <c r="F94" s="612">
        <v>59615.4</v>
      </c>
    </row>
    <row r="95" spans="1:6">
      <c r="A95" s="613" t="s">
        <v>1008</v>
      </c>
      <c r="B95" s="613" t="s">
        <v>1312</v>
      </c>
      <c r="D95" s="612">
        <v>10025.280000000001</v>
      </c>
      <c r="F95" s="612">
        <v>10025.280000000001</v>
      </c>
    </row>
    <row r="96" spans="1:6">
      <c r="A96" s="613" t="s">
        <v>752</v>
      </c>
      <c r="B96" s="613" t="s">
        <v>840</v>
      </c>
      <c r="D96" s="612">
        <v>10025.280000000001</v>
      </c>
      <c r="F96" s="612">
        <v>10025.280000000001</v>
      </c>
    </row>
    <row r="97" spans="1:6">
      <c r="A97" s="613" t="s">
        <v>841</v>
      </c>
      <c r="B97" s="613" t="s">
        <v>754</v>
      </c>
      <c r="C97" s="611">
        <v>759103.73</v>
      </c>
      <c r="D97" s="612">
        <v>845594.54</v>
      </c>
      <c r="E97" s="612">
        <v>386559.37</v>
      </c>
      <c r="F97" s="612">
        <v>473050.18</v>
      </c>
    </row>
    <row r="98" spans="1:6">
      <c r="A98" s="613" t="s">
        <v>1483</v>
      </c>
      <c r="B98" s="613" t="s">
        <v>1484</v>
      </c>
      <c r="C98" s="611">
        <v>30909.279999999999</v>
      </c>
      <c r="D98" s="612">
        <v>25242.59</v>
      </c>
      <c r="E98" s="612">
        <v>5666.69</v>
      </c>
    </row>
    <row r="99" spans="1:6">
      <c r="A99" s="613" t="s">
        <v>1485</v>
      </c>
      <c r="B99" s="613" t="s">
        <v>1433</v>
      </c>
      <c r="D99" s="612">
        <v>0.01</v>
      </c>
      <c r="F99" s="612">
        <v>0.01</v>
      </c>
    </row>
    <row r="100" spans="1:6">
      <c r="A100" s="613" t="s">
        <v>389</v>
      </c>
      <c r="B100" s="613" t="s">
        <v>390</v>
      </c>
      <c r="D100" s="612">
        <v>4262.8999999999996</v>
      </c>
      <c r="F100" s="612">
        <v>4262.8999999999996</v>
      </c>
    </row>
    <row r="101" spans="1:6">
      <c r="A101" s="613" t="s">
        <v>931</v>
      </c>
      <c r="B101" s="613" t="s">
        <v>932</v>
      </c>
      <c r="C101" s="611">
        <v>27.65</v>
      </c>
      <c r="E101" s="612">
        <v>27.65</v>
      </c>
    </row>
    <row r="102" spans="1:6">
      <c r="A102" s="613" t="s">
        <v>933</v>
      </c>
      <c r="B102" s="613" t="s">
        <v>945</v>
      </c>
      <c r="C102" s="611">
        <v>78536.33</v>
      </c>
      <c r="D102" s="612">
        <v>29732.32</v>
      </c>
      <c r="E102" s="612">
        <v>48804.01</v>
      </c>
    </row>
    <row r="103" spans="1:6">
      <c r="A103" s="613" t="s">
        <v>946</v>
      </c>
      <c r="B103" s="613" t="s">
        <v>947</v>
      </c>
      <c r="C103" s="611">
        <v>58676.75</v>
      </c>
      <c r="D103" s="612">
        <v>13997.01</v>
      </c>
      <c r="E103" s="612">
        <v>44679.74</v>
      </c>
    </row>
    <row r="104" spans="1:6">
      <c r="A104" s="613" t="s">
        <v>1102</v>
      </c>
      <c r="B104" s="613" t="s">
        <v>1103</v>
      </c>
      <c r="C104" s="611">
        <v>64979.77</v>
      </c>
      <c r="E104" s="612">
        <v>64979.77</v>
      </c>
    </row>
    <row r="105" spans="1:6">
      <c r="A105" s="613" t="s">
        <v>1104</v>
      </c>
      <c r="B105" s="613" t="s">
        <v>1105</v>
      </c>
      <c r="C105" s="611">
        <v>233129.78</v>
      </c>
      <c r="D105" s="612">
        <v>73234.83</v>
      </c>
      <c r="E105" s="612">
        <v>164157.85999999999</v>
      </c>
      <c r="F105" s="612">
        <v>4262.91</v>
      </c>
    </row>
    <row r="106" spans="1:6">
      <c r="A106" s="613" t="s">
        <v>1106</v>
      </c>
      <c r="B106" s="613" t="s">
        <v>811</v>
      </c>
      <c r="C106" s="611">
        <v>233129.78</v>
      </c>
      <c r="D106" s="612">
        <v>73234.83</v>
      </c>
      <c r="E106" s="612">
        <v>164157.85999999999</v>
      </c>
      <c r="F106" s="612">
        <v>4262.91</v>
      </c>
    </row>
    <row r="107" spans="1:6">
      <c r="A107" s="613" t="s">
        <v>812</v>
      </c>
      <c r="B107" s="613" t="s">
        <v>813</v>
      </c>
      <c r="C107" s="611">
        <v>105.39</v>
      </c>
      <c r="E107" s="612">
        <v>105.39</v>
      </c>
    </row>
    <row r="108" spans="1:6">
      <c r="A108" s="613" t="s">
        <v>1279</v>
      </c>
      <c r="B108" s="613" t="s">
        <v>1526</v>
      </c>
      <c r="C108" s="611">
        <v>90.58</v>
      </c>
      <c r="E108" s="612">
        <v>90.58</v>
      </c>
    </row>
    <row r="109" spans="1:6">
      <c r="A109" s="613" t="s">
        <v>1527</v>
      </c>
      <c r="B109" s="613" t="s">
        <v>1528</v>
      </c>
      <c r="C109" s="611">
        <v>195.97</v>
      </c>
      <c r="E109" s="612">
        <v>195.97</v>
      </c>
    </row>
    <row r="110" spans="1:6">
      <c r="A110" s="613" t="s">
        <v>1529</v>
      </c>
      <c r="B110" s="613" t="s">
        <v>890</v>
      </c>
      <c r="C110" s="611">
        <v>180452.86</v>
      </c>
      <c r="D110" s="612">
        <v>180452.86</v>
      </c>
    </row>
    <row r="111" spans="1:6">
      <c r="A111" s="613" t="s">
        <v>891</v>
      </c>
      <c r="B111" s="613" t="s">
        <v>736</v>
      </c>
      <c r="C111" s="611">
        <v>180452.86</v>
      </c>
      <c r="D111" s="612">
        <v>180452.86</v>
      </c>
    </row>
    <row r="112" spans="1:6">
      <c r="A112" s="613" t="s">
        <v>737</v>
      </c>
      <c r="B112" s="613" t="s">
        <v>887</v>
      </c>
      <c r="C112" s="611">
        <v>413778.61</v>
      </c>
      <c r="D112" s="612">
        <v>253687.69</v>
      </c>
      <c r="E112" s="612">
        <v>164353.82999999999</v>
      </c>
      <c r="F112" s="612">
        <v>4262.91</v>
      </c>
    </row>
    <row r="113" spans="1:5">
      <c r="A113" s="613" t="s">
        <v>1055</v>
      </c>
      <c r="B113" s="613" t="s">
        <v>1058</v>
      </c>
      <c r="C113" s="611">
        <v>820.03</v>
      </c>
      <c r="E113" s="612">
        <v>820.03</v>
      </c>
    </row>
    <row r="114" spans="1:5">
      <c r="A114" s="613" t="s">
        <v>1059</v>
      </c>
      <c r="B114" s="613" t="s">
        <v>1211</v>
      </c>
      <c r="C114" s="611">
        <v>908.94</v>
      </c>
      <c r="E114" s="612">
        <v>908.94</v>
      </c>
    </row>
    <row r="115" spans="1:5">
      <c r="A115" s="613" t="s">
        <v>1203</v>
      </c>
      <c r="B115" s="613" t="s">
        <v>1204</v>
      </c>
      <c r="C115" s="611">
        <v>1428.05</v>
      </c>
      <c r="E115" s="612">
        <v>1428.05</v>
      </c>
    </row>
    <row r="116" spans="1:5">
      <c r="A116" s="613" t="s">
        <v>221</v>
      </c>
      <c r="B116" s="613" t="s">
        <v>51</v>
      </c>
      <c r="C116" s="611">
        <v>2369.2600000000002</v>
      </c>
      <c r="E116" s="612">
        <v>2369.2600000000002</v>
      </c>
    </row>
    <row r="117" spans="1:5">
      <c r="A117" s="613" t="s">
        <v>1278</v>
      </c>
      <c r="B117" s="613" t="s">
        <v>1324</v>
      </c>
      <c r="C117" s="611">
        <v>292.77</v>
      </c>
      <c r="E117" s="612">
        <v>292.77</v>
      </c>
    </row>
    <row r="118" spans="1:5">
      <c r="A118" s="613" t="s">
        <v>1325</v>
      </c>
      <c r="B118" s="613" t="s">
        <v>1326</v>
      </c>
      <c r="C118" s="611">
        <v>92.04</v>
      </c>
      <c r="E118" s="612">
        <v>92.04</v>
      </c>
    </row>
    <row r="119" spans="1:5">
      <c r="A119" s="613" t="s">
        <v>1332</v>
      </c>
      <c r="B119" s="613" t="s">
        <v>665</v>
      </c>
      <c r="C119" s="611">
        <v>2720.37</v>
      </c>
      <c r="E119" s="612">
        <v>2720.37</v>
      </c>
    </row>
    <row r="120" spans="1:5">
      <c r="A120" s="613" t="s">
        <v>666</v>
      </c>
      <c r="B120" s="613" t="s">
        <v>255</v>
      </c>
      <c r="C120" s="611">
        <v>30.6</v>
      </c>
      <c r="E120" s="612">
        <v>30.6</v>
      </c>
    </row>
    <row r="121" spans="1:5">
      <c r="A121" s="613" t="s">
        <v>260</v>
      </c>
      <c r="B121" s="613" t="s">
        <v>261</v>
      </c>
      <c r="C121" s="611">
        <v>28197.919999999998</v>
      </c>
      <c r="E121" s="612">
        <v>28197.919999999998</v>
      </c>
    </row>
    <row r="122" spans="1:5">
      <c r="A122" s="613" t="s">
        <v>125</v>
      </c>
      <c r="B122" s="613" t="s">
        <v>126</v>
      </c>
      <c r="C122" s="611">
        <v>36859.980000000003</v>
      </c>
      <c r="E122" s="612">
        <v>36859.980000000003</v>
      </c>
    </row>
    <row r="123" spans="1:5">
      <c r="A123" s="613" t="s">
        <v>153</v>
      </c>
      <c r="B123" s="613" t="s">
        <v>134</v>
      </c>
      <c r="C123" s="611">
        <v>1593.7</v>
      </c>
      <c r="D123" s="612">
        <v>249.71</v>
      </c>
      <c r="E123" s="612">
        <v>1343.99</v>
      </c>
    </row>
    <row r="124" spans="1:5">
      <c r="A124" s="613" t="s">
        <v>135</v>
      </c>
      <c r="B124" s="613" t="s">
        <v>329</v>
      </c>
      <c r="C124" s="611">
        <v>6125.99</v>
      </c>
      <c r="D124" s="612">
        <v>4594.49</v>
      </c>
      <c r="E124" s="612">
        <v>1531.5</v>
      </c>
    </row>
    <row r="125" spans="1:5">
      <c r="A125" s="613" t="s">
        <v>330</v>
      </c>
      <c r="B125" s="613" t="s">
        <v>345</v>
      </c>
      <c r="C125" s="611">
        <v>1533.82</v>
      </c>
      <c r="E125" s="612">
        <v>1533.82</v>
      </c>
    </row>
    <row r="126" spans="1:5">
      <c r="A126" s="613" t="s">
        <v>346</v>
      </c>
      <c r="B126" s="613" t="s">
        <v>1287</v>
      </c>
      <c r="C126" s="611">
        <v>3341.73</v>
      </c>
      <c r="D126" s="612">
        <v>2506.3000000000002</v>
      </c>
      <c r="E126" s="612">
        <v>835.43</v>
      </c>
    </row>
    <row r="127" spans="1:5">
      <c r="A127" s="613" t="s">
        <v>1295</v>
      </c>
      <c r="B127" s="613" t="s">
        <v>1296</v>
      </c>
      <c r="C127" s="611">
        <v>1449.52</v>
      </c>
      <c r="E127" s="612">
        <v>1449.52</v>
      </c>
    </row>
    <row r="128" spans="1:5">
      <c r="A128" s="613" t="s">
        <v>1299</v>
      </c>
      <c r="B128" s="613" t="s">
        <v>1300</v>
      </c>
      <c r="C128" s="611">
        <v>228.67</v>
      </c>
      <c r="E128" s="612">
        <v>228.67</v>
      </c>
    </row>
    <row r="129" spans="1:5">
      <c r="A129" s="613" t="s">
        <v>1301</v>
      </c>
      <c r="B129" s="613" t="s">
        <v>1558</v>
      </c>
      <c r="C129" s="611">
        <v>166.17</v>
      </c>
      <c r="E129" s="612">
        <v>166.17</v>
      </c>
    </row>
    <row r="130" spans="1:5">
      <c r="A130" s="613" t="s">
        <v>1026</v>
      </c>
      <c r="B130" s="613" t="s">
        <v>615</v>
      </c>
      <c r="C130" s="611">
        <v>1259.6300000000001</v>
      </c>
      <c r="D130" s="612">
        <v>881.71</v>
      </c>
      <c r="E130" s="612">
        <v>377.92</v>
      </c>
    </row>
    <row r="131" spans="1:5">
      <c r="A131" s="613" t="s">
        <v>316</v>
      </c>
      <c r="B131" s="613" t="s">
        <v>43</v>
      </c>
      <c r="C131" s="611">
        <v>15699.23</v>
      </c>
      <c r="D131" s="612">
        <v>8232.2099999999991</v>
      </c>
      <c r="E131" s="612">
        <v>7467.02</v>
      </c>
    </row>
    <row r="132" spans="1:5">
      <c r="A132" s="613" t="s">
        <v>44</v>
      </c>
      <c r="B132" s="613" t="s">
        <v>433</v>
      </c>
      <c r="C132" s="611">
        <v>253.68</v>
      </c>
      <c r="D132" s="612">
        <v>253.68</v>
      </c>
    </row>
    <row r="133" spans="1:5">
      <c r="A133" s="613" t="s">
        <v>611</v>
      </c>
      <c r="B133" s="613" t="s">
        <v>612</v>
      </c>
      <c r="C133" s="611">
        <v>36.090000000000003</v>
      </c>
      <c r="E133" s="612">
        <v>36.090000000000003</v>
      </c>
    </row>
    <row r="134" spans="1:5">
      <c r="A134" s="613" t="s">
        <v>443</v>
      </c>
      <c r="B134" s="613" t="s">
        <v>457</v>
      </c>
      <c r="C134" s="611">
        <v>1118.8599999999999</v>
      </c>
      <c r="E134" s="612">
        <v>1118.8599999999999</v>
      </c>
    </row>
    <row r="135" spans="1:5">
      <c r="A135" s="613" t="s">
        <v>1188</v>
      </c>
      <c r="B135" s="613" t="s">
        <v>1189</v>
      </c>
      <c r="C135" s="611">
        <v>1253</v>
      </c>
      <c r="E135" s="612">
        <v>1253</v>
      </c>
    </row>
    <row r="136" spans="1:5">
      <c r="A136" s="613" t="s">
        <v>1194</v>
      </c>
      <c r="B136" s="613" t="s">
        <v>1233</v>
      </c>
      <c r="C136" s="611">
        <v>839.62</v>
      </c>
      <c r="E136" s="612">
        <v>839.62</v>
      </c>
    </row>
    <row r="137" spans="1:5">
      <c r="A137" s="613" t="s">
        <v>1236</v>
      </c>
      <c r="B137" s="613" t="s">
        <v>1224</v>
      </c>
      <c r="C137" s="611">
        <v>1225.9100000000001</v>
      </c>
      <c r="D137" s="612">
        <v>-17.78</v>
      </c>
      <c r="E137" s="612">
        <v>1243.69</v>
      </c>
    </row>
    <row r="138" spans="1:5">
      <c r="A138" s="613" t="s">
        <v>897</v>
      </c>
      <c r="B138" s="613" t="s">
        <v>898</v>
      </c>
      <c r="C138" s="611">
        <v>1043.8499999999999</v>
      </c>
      <c r="E138" s="612">
        <v>1043.8499999999999</v>
      </c>
    </row>
    <row r="139" spans="1:5">
      <c r="A139" s="613" t="s">
        <v>371</v>
      </c>
      <c r="B139" s="613" t="s">
        <v>372</v>
      </c>
      <c r="C139" s="611">
        <v>200</v>
      </c>
      <c r="E139" s="612">
        <v>200</v>
      </c>
    </row>
    <row r="140" spans="1:5">
      <c r="A140" s="613" t="s">
        <v>547</v>
      </c>
      <c r="B140" s="613" t="s">
        <v>105</v>
      </c>
      <c r="C140" s="611">
        <v>270.32</v>
      </c>
      <c r="E140" s="612">
        <v>270.32</v>
      </c>
    </row>
    <row r="141" spans="1:5">
      <c r="A141" s="613" t="s">
        <v>286</v>
      </c>
      <c r="B141" s="613" t="s">
        <v>212</v>
      </c>
      <c r="C141" s="611">
        <v>495.46</v>
      </c>
      <c r="E141" s="612">
        <v>495.46</v>
      </c>
    </row>
    <row r="142" spans="1:5">
      <c r="A142" s="613" t="s">
        <v>213</v>
      </c>
      <c r="B142" s="613" t="s">
        <v>214</v>
      </c>
      <c r="C142" s="611">
        <v>880.56</v>
      </c>
      <c r="D142" s="612">
        <v>257.66000000000003</v>
      </c>
      <c r="E142" s="612">
        <v>622.9</v>
      </c>
    </row>
    <row r="143" spans="1:5">
      <c r="A143" s="613" t="s">
        <v>215</v>
      </c>
      <c r="B143" s="613" t="s">
        <v>197</v>
      </c>
      <c r="C143" s="611">
        <v>413.59</v>
      </c>
      <c r="D143" s="612">
        <v>394.63</v>
      </c>
      <c r="E143" s="612">
        <v>18.96</v>
      </c>
    </row>
    <row r="144" spans="1:5">
      <c r="A144" s="613" t="s">
        <v>198</v>
      </c>
      <c r="B144" s="613" t="s">
        <v>92</v>
      </c>
      <c r="C144" s="611">
        <v>720.94</v>
      </c>
      <c r="D144" s="612">
        <v>18.59</v>
      </c>
      <c r="E144" s="612">
        <v>702.35</v>
      </c>
    </row>
    <row r="145" spans="1:5">
      <c r="A145" s="613" t="s">
        <v>211</v>
      </c>
      <c r="B145" s="613" t="s">
        <v>42</v>
      </c>
      <c r="C145" s="611">
        <v>8751.8799999999992</v>
      </c>
      <c r="D145" s="612">
        <v>906.78</v>
      </c>
      <c r="E145" s="612">
        <v>7845.1</v>
      </c>
    </row>
    <row r="146" spans="1:5">
      <c r="A146" s="613" t="s">
        <v>52</v>
      </c>
      <c r="B146" s="613" t="s">
        <v>53</v>
      </c>
      <c r="C146" s="611">
        <v>121.02</v>
      </c>
      <c r="E146" s="612">
        <v>121.02</v>
      </c>
    </row>
    <row r="147" spans="1:5">
      <c r="A147" s="613" t="s">
        <v>467</v>
      </c>
      <c r="B147" s="613" t="s">
        <v>527</v>
      </c>
      <c r="C147" s="611">
        <v>1200</v>
      </c>
      <c r="E147" s="612">
        <v>1200</v>
      </c>
    </row>
    <row r="148" spans="1:5">
      <c r="A148" s="613" t="s">
        <v>528</v>
      </c>
      <c r="B148" s="613" t="s">
        <v>529</v>
      </c>
      <c r="C148" s="611">
        <v>6.06</v>
      </c>
      <c r="E148" s="612">
        <v>6.06</v>
      </c>
    </row>
    <row r="149" spans="1:5">
      <c r="A149" s="613" t="s">
        <v>363</v>
      </c>
      <c r="B149" s="613" t="s">
        <v>364</v>
      </c>
      <c r="C149" s="611">
        <v>1327.08</v>
      </c>
      <c r="E149" s="612">
        <v>1327.08</v>
      </c>
    </row>
    <row r="150" spans="1:5">
      <c r="A150" s="613" t="s">
        <v>708</v>
      </c>
      <c r="B150" s="613" t="s">
        <v>447</v>
      </c>
      <c r="C150" s="611">
        <v>18619.18</v>
      </c>
      <c r="E150" s="612">
        <v>18619.18</v>
      </c>
    </row>
    <row r="151" spans="1:5">
      <c r="A151" s="613" t="s">
        <v>765</v>
      </c>
      <c r="B151" s="613" t="s">
        <v>1386</v>
      </c>
      <c r="C151" s="611">
        <v>131.69999999999999</v>
      </c>
      <c r="E151" s="612">
        <v>131.69999999999999</v>
      </c>
    </row>
    <row r="152" spans="1:5">
      <c r="A152" s="613" t="s">
        <v>1387</v>
      </c>
      <c r="B152" s="613" t="s">
        <v>1530</v>
      </c>
      <c r="C152" s="611">
        <v>18750.88</v>
      </c>
      <c r="E152" s="612">
        <v>18750.88</v>
      </c>
    </row>
    <row r="153" spans="1:5">
      <c r="A153" s="613" t="s">
        <v>543</v>
      </c>
      <c r="B153" s="613" t="s">
        <v>311</v>
      </c>
      <c r="C153" s="611">
        <v>5203.1099999999997</v>
      </c>
      <c r="E153" s="612">
        <v>5203.1099999999997</v>
      </c>
    </row>
    <row r="154" spans="1:5">
      <c r="A154" s="613" t="s">
        <v>312</v>
      </c>
      <c r="B154" s="613" t="s">
        <v>663</v>
      </c>
      <c r="C154" s="611">
        <v>164.96</v>
      </c>
      <c r="E154" s="612">
        <v>164.96</v>
      </c>
    </row>
    <row r="155" spans="1:5">
      <c r="A155" s="613" t="s">
        <v>544</v>
      </c>
      <c r="B155" s="613" t="s">
        <v>545</v>
      </c>
      <c r="C155" s="611">
        <v>195.84</v>
      </c>
      <c r="E155" s="612">
        <v>195.84</v>
      </c>
    </row>
    <row r="156" spans="1:5">
      <c r="A156" s="613" t="s">
        <v>546</v>
      </c>
      <c r="B156" s="613" t="s">
        <v>831</v>
      </c>
      <c r="C156" s="611">
        <v>924.24</v>
      </c>
      <c r="E156" s="612">
        <v>924.24</v>
      </c>
    </row>
    <row r="157" spans="1:5">
      <c r="A157" s="613" t="s">
        <v>832</v>
      </c>
      <c r="B157" s="613" t="s">
        <v>833</v>
      </c>
      <c r="C157" s="611">
        <v>701.75</v>
      </c>
      <c r="E157" s="612">
        <v>701.75</v>
      </c>
    </row>
    <row r="158" spans="1:5">
      <c r="A158" s="613" t="s">
        <v>129</v>
      </c>
      <c r="B158" s="613" t="s">
        <v>130</v>
      </c>
      <c r="C158" s="611">
        <v>500.68</v>
      </c>
      <c r="E158" s="612">
        <v>500.68</v>
      </c>
    </row>
    <row r="159" spans="1:5">
      <c r="A159" s="613" t="s">
        <v>131</v>
      </c>
      <c r="B159" s="613" t="s">
        <v>486</v>
      </c>
      <c r="C159" s="611">
        <v>7690.58</v>
      </c>
      <c r="E159" s="612">
        <v>7690.58</v>
      </c>
    </row>
    <row r="160" spans="1:5">
      <c r="A160" s="613" t="s">
        <v>1474</v>
      </c>
      <c r="B160" s="613" t="s">
        <v>1475</v>
      </c>
      <c r="C160" s="611">
        <v>478.8</v>
      </c>
      <c r="E160" s="612">
        <v>478.8</v>
      </c>
    </row>
    <row r="161" spans="1:6">
      <c r="A161" s="613" t="s">
        <v>1595</v>
      </c>
      <c r="B161" s="613" t="s">
        <v>1465</v>
      </c>
      <c r="C161" s="611">
        <v>26920.26</v>
      </c>
      <c r="E161" s="612">
        <v>26920.26</v>
      </c>
    </row>
    <row r="162" spans="1:6">
      <c r="A162" s="613" t="s">
        <v>1466</v>
      </c>
      <c r="B162" s="613" t="s">
        <v>1237</v>
      </c>
      <c r="C162" s="611">
        <v>6.66</v>
      </c>
      <c r="E162" s="612">
        <v>6.66</v>
      </c>
    </row>
    <row r="163" spans="1:6">
      <c r="A163" s="613" t="s">
        <v>1238</v>
      </c>
      <c r="B163" s="613" t="s">
        <v>1480</v>
      </c>
      <c r="C163" s="611">
        <v>6.66</v>
      </c>
      <c r="E163" s="612">
        <v>6.66</v>
      </c>
    </row>
    <row r="164" spans="1:6">
      <c r="A164" s="613" t="s">
        <v>1247</v>
      </c>
      <c r="B164" s="613" t="s">
        <v>1248</v>
      </c>
      <c r="C164" s="611">
        <v>544.96</v>
      </c>
      <c r="E164" s="612">
        <v>544.96</v>
      </c>
    </row>
    <row r="165" spans="1:6">
      <c r="A165" s="613" t="s">
        <v>941</v>
      </c>
      <c r="B165" s="613" t="s">
        <v>1430</v>
      </c>
      <c r="C165" s="611">
        <v>0.01</v>
      </c>
      <c r="E165" s="612">
        <v>0.01</v>
      </c>
    </row>
    <row r="166" spans="1:6">
      <c r="A166" s="613" t="s">
        <v>1431</v>
      </c>
      <c r="B166" s="613" t="s">
        <v>1432</v>
      </c>
      <c r="C166" s="611">
        <v>544.97</v>
      </c>
      <c r="E166" s="612">
        <v>544.97</v>
      </c>
    </row>
    <row r="167" spans="1:6">
      <c r="A167" s="613" t="s">
        <v>54</v>
      </c>
      <c r="B167" s="613" t="s">
        <v>81</v>
      </c>
      <c r="C167" s="611">
        <v>424.7</v>
      </c>
      <c r="E167" s="612">
        <v>424.7</v>
      </c>
    </row>
    <row r="168" spans="1:6">
      <c r="A168" s="613" t="s">
        <v>1390</v>
      </c>
      <c r="B168" s="613" t="s">
        <v>1250</v>
      </c>
      <c r="C168" s="611">
        <v>424.7</v>
      </c>
      <c r="E168" s="612">
        <v>424.7</v>
      </c>
    </row>
    <row r="169" spans="1:6">
      <c r="A169" s="613" t="s">
        <v>1420</v>
      </c>
      <c r="B169" s="613" t="s">
        <v>1088</v>
      </c>
      <c r="C169" s="611">
        <v>5500</v>
      </c>
      <c r="E169" s="612">
        <v>5500</v>
      </c>
    </row>
    <row r="170" spans="1:6">
      <c r="A170" s="613" t="s">
        <v>1089</v>
      </c>
      <c r="B170" s="613" t="s">
        <v>1063</v>
      </c>
      <c r="C170" s="611">
        <v>5500</v>
      </c>
      <c r="E170" s="612">
        <v>5500</v>
      </c>
    </row>
    <row r="171" spans="1:6">
      <c r="A171" s="613" t="s">
        <v>1064</v>
      </c>
      <c r="B171" s="613" t="s">
        <v>908</v>
      </c>
      <c r="C171" s="611">
        <v>5500</v>
      </c>
      <c r="E171" s="612">
        <v>5500</v>
      </c>
    </row>
    <row r="172" spans="1:6">
      <c r="A172" s="613" t="s">
        <v>909</v>
      </c>
      <c r="B172" s="613" t="s">
        <v>902</v>
      </c>
      <c r="C172" s="611">
        <v>96034.76</v>
      </c>
      <c r="D172" s="612">
        <v>9138.99</v>
      </c>
      <c r="E172" s="612">
        <v>86895.77</v>
      </c>
    </row>
    <row r="173" spans="1:6">
      <c r="A173" s="613" t="s">
        <v>903</v>
      </c>
      <c r="B173" s="613" t="s">
        <v>904</v>
      </c>
      <c r="D173" s="612">
        <v>651.75</v>
      </c>
      <c r="F173" s="612">
        <v>651.75</v>
      </c>
    </row>
    <row r="174" spans="1:6">
      <c r="A174" s="613" t="s">
        <v>892</v>
      </c>
      <c r="B174" s="613" t="s">
        <v>893</v>
      </c>
      <c r="D174" s="612">
        <v>1905</v>
      </c>
      <c r="F174" s="612">
        <v>1905</v>
      </c>
    </row>
    <row r="175" spans="1:6">
      <c r="A175" s="613" t="s">
        <v>1216</v>
      </c>
      <c r="B175" s="613" t="s">
        <v>1217</v>
      </c>
      <c r="D175" s="612">
        <v>55</v>
      </c>
      <c r="F175" s="612">
        <v>55</v>
      </c>
    </row>
    <row r="176" spans="1:6">
      <c r="A176" s="613" t="s">
        <v>921</v>
      </c>
      <c r="B176" s="613" t="s">
        <v>506</v>
      </c>
      <c r="D176" s="612">
        <v>1335</v>
      </c>
      <c r="F176" s="612">
        <v>1335</v>
      </c>
    </row>
    <row r="177" spans="1:6">
      <c r="A177" s="613" t="s">
        <v>680</v>
      </c>
      <c r="B177" s="613" t="s">
        <v>681</v>
      </c>
      <c r="D177" s="612">
        <v>23170.95</v>
      </c>
      <c r="F177" s="612">
        <v>23170.95</v>
      </c>
    </row>
    <row r="178" spans="1:6">
      <c r="A178" s="613" t="s">
        <v>82</v>
      </c>
      <c r="B178" s="613" t="s">
        <v>14</v>
      </c>
      <c r="D178" s="612">
        <v>8464.93</v>
      </c>
      <c r="F178" s="612">
        <v>8464.93</v>
      </c>
    </row>
    <row r="179" spans="1:6">
      <c r="A179" s="613" t="s">
        <v>507</v>
      </c>
      <c r="B179" s="613" t="s">
        <v>734</v>
      </c>
      <c r="D179" s="612">
        <v>2578.5500000000002</v>
      </c>
      <c r="F179" s="612">
        <v>2578.5500000000002</v>
      </c>
    </row>
    <row r="180" spans="1:6">
      <c r="A180" s="613" t="s">
        <v>7</v>
      </c>
      <c r="B180" s="613" t="s">
        <v>437</v>
      </c>
      <c r="D180" s="612">
        <v>312.64999999999998</v>
      </c>
      <c r="F180" s="612">
        <v>312.64999999999998</v>
      </c>
    </row>
    <row r="181" spans="1:6">
      <c r="A181" s="613" t="s">
        <v>1092</v>
      </c>
      <c r="B181" s="613" t="s">
        <v>1093</v>
      </c>
      <c r="D181" s="612">
        <v>26309.53</v>
      </c>
      <c r="F181" s="612">
        <v>26309.53</v>
      </c>
    </row>
    <row r="182" spans="1:6">
      <c r="A182" s="613" t="s">
        <v>1094</v>
      </c>
      <c r="B182" s="613" t="s">
        <v>298</v>
      </c>
      <c r="D182" s="612">
        <v>411.02</v>
      </c>
      <c r="F182" s="612">
        <v>411.02</v>
      </c>
    </row>
    <row r="183" spans="1:6">
      <c r="A183" s="613" t="s">
        <v>299</v>
      </c>
      <c r="B183" s="613" t="s">
        <v>624</v>
      </c>
      <c r="D183" s="612">
        <v>101</v>
      </c>
      <c r="F183" s="612">
        <v>101</v>
      </c>
    </row>
    <row r="184" spans="1:6">
      <c r="A184" s="613" t="s">
        <v>596</v>
      </c>
      <c r="B184" s="613" t="s">
        <v>242</v>
      </c>
      <c r="D184" s="612">
        <v>105</v>
      </c>
      <c r="F184" s="612">
        <v>105</v>
      </c>
    </row>
    <row r="185" spans="1:6">
      <c r="A185" s="613" t="s">
        <v>243</v>
      </c>
      <c r="B185" s="613" t="s">
        <v>356</v>
      </c>
      <c r="D185" s="612">
        <v>70</v>
      </c>
      <c r="F185" s="612">
        <v>70</v>
      </c>
    </row>
    <row r="186" spans="1:6">
      <c r="A186" s="613" t="s">
        <v>357</v>
      </c>
      <c r="B186" s="613" t="s">
        <v>358</v>
      </c>
      <c r="D186" s="612">
        <v>1751.26</v>
      </c>
      <c r="F186" s="612">
        <v>1751.26</v>
      </c>
    </row>
    <row r="187" spans="1:6">
      <c r="A187" s="613" t="s">
        <v>566</v>
      </c>
      <c r="B187" s="613" t="s">
        <v>597</v>
      </c>
      <c r="D187" s="612">
        <v>67221.64</v>
      </c>
      <c r="F187" s="612">
        <v>67221.64</v>
      </c>
    </row>
    <row r="188" spans="1:6">
      <c r="A188" s="613" t="s">
        <v>717</v>
      </c>
      <c r="B188" s="613" t="s">
        <v>693</v>
      </c>
      <c r="D188" s="612">
        <v>0.02</v>
      </c>
      <c r="F188" s="612">
        <v>0.02</v>
      </c>
    </row>
    <row r="189" spans="1:6">
      <c r="A189" s="613" t="s">
        <v>694</v>
      </c>
      <c r="B189" s="613" t="s">
        <v>870</v>
      </c>
      <c r="D189" s="612">
        <v>0.02</v>
      </c>
      <c r="F189" s="612">
        <v>0.02</v>
      </c>
    </row>
    <row r="190" spans="1:6">
      <c r="A190" s="613" t="s">
        <v>175</v>
      </c>
      <c r="B190" s="613" t="s">
        <v>176</v>
      </c>
      <c r="D190" s="612">
        <v>67221.66</v>
      </c>
      <c r="F190" s="612">
        <v>67221.66</v>
      </c>
    </row>
    <row r="191" spans="1:6">
      <c r="A191" s="613" t="s">
        <v>102</v>
      </c>
      <c r="B191" s="613" t="s">
        <v>103</v>
      </c>
      <c r="D191" s="612">
        <v>208494.61</v>
      </c>
      <c r="F191" s="612">
        <v>208494.61</v>
      </c>
    </row>
  </sheetData>
  <mergeCells count="2">
    <mergeCell ref="C1:D1"/>
    <mergeCell ref="E1:F1"/>
  </mergeCells>
  <phoneticPr fontId="59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/>
  <dimension ref="A1:J252"/>
  <sheetViews>
    <sheetView topLeftCell="G1" workbookViewId="0">
      <selection activeCell="J112" sqref="J112"/>
    </sheetView>
  </sheetViews>
  <sheetFormatPr baseColWidth="10" defaultRowHeight="17" x14ac:dyDescent="0"/>
  <cols>
    <col min="1" max="2" width="14.5703125" style="503" customWidth="1"/>
    <col min="3" max="3" width="32.7109375" style="503" customWidth="1"/>
    <col min="4" max="4" width="9.85546875" style="498" customWidth="1"/>
    <col min="5" max="5" width="11.28515625" style="498" customWidth="1"/>
    <col min="6" max="6" width="0.28515625" style="499" customWidth="1"/>
    <col min="7" max="8" width="0.28515625" style="498" customWidth="1"/>
    <col min="9" max="10" width="11.5703125" style="612" customWidth="1"/>
  </cols>
  <sheetData>
    <row r="1" spans="1:10">
      <c r="A1" s="492"/>
      <c r="B1" s="492"/>
      <c r="C1" s="492"/>
      <c r="D1" s="816" t="s">
        <v>1316</v>
      </c>
      <c r="E1" s="816"/>
      <c r="F1" s="493"/>
      <c r="G1" s="816" t="s">
        <v>1317</v>
      </c>
      <c r="H1" s="816"/>
      <c r="I1" s="815" t="s">
        <v>15</v>
      </c>
      <c r="J1" s="815"/>
    </row>
    <row r="2" spans="1:10">
      <c r="A2" s="494" t="s">
        <v>744</v>
      </c>
      <c r="B2" s="494"/>
      <c r="C2" s="494" t="s">
        <v>745</v>
      </c>
      <c r="D2" s="495" t="s">
        <v>1503</v>
      </c>
      <c r="E2" s="495" t="s">
        <v>1504</v>
      </c>
      <c r="F2" s="496"/>
      <c r="G2" s="495" t="str">
        <f>+D2</f>
        <v xml:space="preserve">Debit </v>
      </c>
      <c r="H2" s="495" t="str">
        <f>+E2</f>
        <v>Credit</v>
      </c>
      <c r="I2" s="612" t="s">
        <v>306</v>
      </c>
      <c r="J2" s="612" t="s">
        <v>109</v>
      </c>
    </row>
    <row r="3" spans="1:10">
      <c r="A3" s="497" t="s">
        <v>1505</v>
      </c>
      <c r="B3" s="497" t="s">
        <v>1506</v>
      </c>
      <c r="C3" s="497" t="s">
        <v>1132</v>
      </c>
      <c r="E3" s="498">
        <v>365830.69</v>
      </c>
      <c r="G3" s="498">
        <f>+D3*6.55957</f>
        <v>0</v>
      </c>
      <c r="H3" s="498">
        <f>+E3*6.55957</f>
        <v>2399692.0192033001</v>
      </c>
      <c r="J3" s="612">
        <v>365830.69</v>
      </c>
    </row>
    <row r="4" spans="1:10">
      <c r="A4" s="497" t="s">
        <v>1507</v>
      </c>
      <c r="B4" s="497" t="s">
        <v>1419</v>
      </c>
      <c r="C4" s="497" t="s">
        <v>1313</v>
      </c>
      <c r="E4" s="498">
        <v>936.9</v>
      </c>
      <c r="G4" s="498">
        <f t="shared" ref="G4:H67" si="0">+D4*6.55957</f>
        <v>0</v>
      </c>
      <c r="H4" s="498">
        <f t="shared" si="0"/>
        <v>6145.6611329999996</v>
      </c>
      <c r="J4" s="612">
        <v>936.9</v>
      </c>
    </row>
    <row r="5" spans="1:10">
      <c r="A5" s="497" t="s">
        <v>1314</v>
      </c>
      <c r="B5" s="497" t="s">
        <v>1268</v>
      </c>
      <c r="C5" s="497" t="s">
        <v>1269</v>
      </c>
      <c r="E5" s="498">
        <v>366767.59</v>
      </c>
      <c r="G5" s="498">
        <f t="shared" si="0"/>
        <v>0</v>
      </c>
      <c r="H5" s="498">
        <f t="shared" si="0"/>
        <v>2405837.6803363003</v>
      </c>
      <c r="J5" s="612">
        <v>366767.59</v>
      </c>
    </row>
    <row r="6" spans="1:10">
      <c r="A6" s="497" t="s">
        <v>1270</v>
      </c>
      <c r="B6" s="497"/>
      <c r="C6" s="497" t="s">
        <v>1559</v>
      </c>
      <c r="D6" s="498">
        <v>201233.72</v>
      </c>
      <c r="G6" s="498">
        <f t="shared" si="0"/>
        <v>1320006.6727004</v>
      </c>
      <c r="H6" s="498">
        <f t="shared" si="0"/>
        <v>0</v>
      </c>
      <c r="I6" s="612">
        <v>201233.72</v>
      </c>
    </row>
    <row r="7" spans="1:10">
      <c r="A7" s="497" t="s">
        <v>1522</v>
      </c>
      <c r="B7" s="497"/>
      <c r="C7" s="497" t="s">
        <v>1523</v>
      </c>
      <c r="E7" s="498">
        <v>93028.22</v>
      </c>
      <c r="G7" s="498">
        <f t="shared" si="0"/>
        <v>0</v>
      </c>
      <c r="H7" s="498">
        <f t="shared" si="0"/>
        <v>610225.12106539996</v>
      </c>
      <c r="J7" s="612">
        <v>89886.21</v>
      </c>
    </row>
    <row r="8" spans="1:10">
      <c r="A8" s="497" t="s">
        <v>1342</v>
      </c>
      <c r="B8" s="497"/>
      <c r="C8" s="497" t="s">
        <v>1343</v>
      </c>
      <c r="E8" s="498">
        <v>93028.22</v>
      </c>
      <c r="G8" s="498">
        <f t="shared" si="0"/>
        <v>0</v>
      </c>
      <c r="H8" s="498">
        <f t="shared" si="0"/>
        <v>610225.12106539996</v>
      </c>
      <c r="J8" s="612">
        <v>89886.21</v>
      </c>
    </row>
    <row r="9" spans="1:10">
      <c r="A9" s="500" t="s">
        <v>1344</v>
      </c>
      <c r="B9" s="500"/>
      <c r="C9" s="500" t="s">
        <v>989</v>
      </c>
      <c r="D9" s="501">
        <v>201233.72</v>
      </c>
      <c r="E9" s="501">
        <v>459795.81</v>
      </c>
      <c r="F9" s="502"/>
      <c r="G9" s="501">
        <f t="shared" si="0"/>
        <v>1320006.6727004</v>
      </c>
      <c r="H9" s="501">
        <f t="shared" si="0"/>
        <v>3016062.8014016999</v>
      </c>
      <c r="I9" s="612">
        <v>201233.72</v>
      </c>
      <c r="J9" s="612">
        <v>456653.8</v>
      </c>
    </row>
    <row r="10" spans="1:10">
      <c r="A10" s="497" t="s">
        <v>990</v>
      </c>
      <c r="B10" s="497"/>
      <c r="C10" s="497" t="s">
        <v>991</v>
      </c>
      <c r="D10" s="498">
        <v>10766.71</v>
      </c>
      <c r="G10" s="498">
        <f t="shared" si="0"/>
        <v>70624.987914699988</v>
      </c>
      <c r="H10" s="498">
        <f t="shared" si="0"/>
        <v>0</v>
      </c>
      <c r="I10" s="612">
        <v>10766.71</v>
      </c>
    </row>
    <row r="11" spans="1:10">
      <c r="A11" s="497" t="s">
        <v>992</v>
      </c>
      <c r="B11" s="497"/>
      <c r="C11" s="497" t="s">
        <v>854</v>
      </c>
      <c r="D11" s="498">
        <v>10766.71</v>
      </c>
      <c r="G11" s="498">
        <f t="shared" si="0"/>
        <v>70624.987914699988</v>
      </c>
      <c r="H11" s="498">
        <f t="shared" si="0"/>
        <v>0</v>
      </c>
      <c r="I11" s="612">
        <v>10766.71</v>
      </c>
    </row>
    <row r="12" spans="1:10">
      <c r="A12" s="497" t="s">
        <v>855</v>
      </c>
      <c r="B12" s="497"/>
      <c r="C12" s="497" t="s">
        <v>1310</v>
      </c>
      <c r="D12" s="498">
        <v>202853.55</v>
      </c>
      <c r="G12" s="498">
        <f t="shared" si="0"/>
        <v>1330632.0609734999</v>
      </c>
      <c r="H12" s="498">
        <f t="shared" si="0"/>
        <v>0</v>
      </c>
      <c r="I12" s="612">
        <v>202853.55</v>
      </c>
    </row>
    <row r="13" spans="1:10">
      <c r="A13" s="497" t="s">
        <v>1311</v>
      </c>
      <c r="B13" s="497"/>
      <c r="C13" s="497" t="s">
        <v>1153</v>
      </c>
      <c r="D13" s="498">
        <v>108397.81</v>
      </c>
      <c r="G13" s="498">
        <f t="shared" si="0"/>
        <v>711043.02254169993</v>
      </c>
      <c r="H13" s="498">
        <f t="shared" si="0"/>
        <v>0</v>
      </c>
      <c r="I13" s="612">
        <v>152636.76999999999</v>
      </c>
    </row>
    <row r="14" spans="1:10">
      <c r="A14" s="497" t="s">
        <v>1154</v>
      </c>
      <c r="B14" s="497"/>
      <c r="C14" s="497" t="s">
        <v>60</v>
      </c>
      <c r="D14" s="498">
        <v>67947.73</v>
      </c>
      <c r="G14" s="498">
        <f t="shared" si="0"/>
        <v>445707.89127609995</v>
      </c>
      <c r="H14" s="498">
        <f t="shared" si="0"/>
        <v>0</v>
      </c>
      <c r="I14" s="612">
        <v>67947.73</v>
      </c>
    </row>
    <row r="15" spans="1:10">
      <c r="A15" s="497" t="s">
        <v>313</v>
      </c>
      <c r="B15" s="497"/>
      <c r="C15" s="497" t="s">
        <v>783</v>
      </c>
      <c r="D15" s="498">
        <v>31966</v>
      </c>
      <c r="G15" s="498">
        <f t="shared" si="0"/>
        <v>209683.21461999998</v>
      </c>
      <c r="H15" s="498">
        <f t="shared" si="0"/>
        <v>0</v>
      </c>
      <c r="I15" s="612">
        <v>37330.800000000003</v>
      </c>
    </row>
    <row r="16" spans="1:10">
      <c r="A16" s="497" t="s">
        <v>784</v>
      </c>
      <c r="B16" s="497"/>
      <c r="C16" s="497" t="s">
        <v>1525</v>
      </c>
      <c r="D16" s="498">
        <v>472.59</v>
      </c>
      <c r="G16" s="498">
        <f t="shared" si="0"/>
        <v>3099.9871862999998</v>
      </c>
      <c r="H16" s="498">
        <f t="shared" si="0"/>
        <v>0</v>
      </c>
      <c r="I16" s="612">
        <v>472.59</v>
      </c>
    </row>
    <row r="17" spans="1:10">
      <c r="A17" s="497" t="s">
        <v>1323</v>
      </c>
      <c r="B17" s="497"/>
      <c r="C17" s="497" t="s">
        <v>1028</v>
      </c>
      <c r="D17" s="498">
        <v>411637.68</v>
      </c>
      <c r="G17" s="498">
        <f t="shared" si="0"/>
        <v>2700166.1765975999</v>
      </c>
      <c r="H17" s="498">
        <f t="shared" si="0"/>
        <v>0</v>
      </c>
      <c r="I17" s="612">
        <v>461241.44</v>
      </c>
    </row>
    <row r="18" spans="1:10">
      <c r="A18" s="497" t="s">
        <v>858</v>
      </c>
      <c r="B18" s="497"/>
      <c r="C18" s="497" t="s">
        <v>686</v>
      </c>
      <c r="D18" s="498">
        <v>12797.19</v>
      </c>
      <c r="G18" s="498">
        <f t="shared" si="0"/>
        <v>83944.063608299999</v>
      </c>
      <c r="H18" s="498">
        <f t="shared" si="0"/>
        <v>0</v>
      </c>
      <c r="I18" s="612">
        <v>12797.19</v>
      </c>
    </row>
    <row r="19" spans="1:10">
      <c r="A19" s="497" t="s">
        <v>687</v>
      </c>
      <c r="B19" s="497"/>
      <c r="C19" s="497" t="s">
        <v>688</v>
      </c>
      <c r="D19" s="498">
        <v>23616.76</v>
      </c>
      <c r="G19" s="498">
        <f t="shared" si="0"/>
        <v>154915.79039319998</v>
      </c>
      <c r="H19" s="498">
        <f t="shared" si="0"/>
        <v>0</v>
      </c>
      <c r="I19" s="612">
        <v>23616.76</v>
      </c>
    </row>
    <row r="20" spans="1:10">
      <c r="A20" s="497" t="s">
        <v>998</v>
      </c>
      <c r="B20" s="497"/>
      <c r="C20" s="497" t="s">
        <v>1261</v>
      </c>
      <c r="D20" s="498">
        <v>12777.55</v>
      </c>
      <c r="G20" s="498">
        <f t="shared" si="0"/>
        <v>83815.233653499992</v>
      </c>
      <c r="H20" s="498">
        <f t="shared" si="0"/>
        <v>0</v>
      </c>
      <c r="I20" s="612">
        <v>12777.55</v>
      </c>
    </row>
    <row r="21" spans="1:10">
      <c r="A21" s="497" t="s">
        <v>999</v>
      </c>
      <c r="B21" s="497"/>
      <c r="C21" s="497" t="s">
        <v>1166</v>
      </c>
      <c r="D21" s="498">
        <v>614.04</v>
      </c>
      <c r="G21" s="498">
        <f t="shared" si="0"/>
        <v>4027.8383627999997</v>
      </c>
      <c r="H21" s="498">
        <f t="shared" si="0"/>
        <v>0</v>
      </c>
      <c r="I21" s="612">
        <v>614.04</v>
      </c>
    </row>
    <row r="22" spans="1:10">
      <c r="A22" s="497" t="s">
        <v>1167</v>
      </c>
      <c r="B22" s="497"/>
      <c r="C22" s="497" t="s">
        <v>1000</v>
      </c>
      <c r="D22" s="498">
        <v>49805.54</v>
      </c>
      <c r="G22" s="498">
        <f t="shared" si="0"/>
        <v>326702.9260178</v>
      </c>
      <c r="H22" s="498">
        <f t="shared" si="0"/>
        <v>0</v>
      </c>
      <c r="I22" s="612">
        <v>49805.54</v>
      </c>
    </row>
    <row r="23" spans="1:10">
      <c r="A23" s="497" t="s">
        <v>1001</v>
      </c>
      <c r="B23" s="497"/>
      <c r="C23" s="497" t="s">
        <v>512</v>
      </c>
      <c r="D23" s="498">
        <v>461443.22</v>
      </c>
      <c r="G23" s="498">
        <f t="shared" si="0"/>
        <v>3026869.1026153998</v>
      </c>
      <c r="H23" s="498">
        <f t="shared" si="0"/>
        <v>0</v>
      </c>
      <c r="I23" s="612">
        <v>511046.98</v>
      </c>
    </row>
    <row r="24" spans="1:10">
      <c r="A24" s="497" t="s">
        <v>513</v>
      </c>
      <c r="B24" s="497"/>
      <c r="C24" s="497" t="s">
        <v>1502</v>
      </c>
      <c r="D24" s="498">
        <v>4539.93</v>
      </c>
      <c r="G24" s="498">
        <f t="shared" si="0"/>
        <v>29779.988630100001</v>
      </c>
      <c r="H24" s="498">
        <f t="shared" si="0"/>
        <v>0</v>
      </c>
      <c r="I24" s="612">
        <v>4539.93</v>
      </c>
    </row>
    <row r="25" spans="1:10">
      <c r="A25" s="497" t="s">
        <v>1594</v>
      </c>
      <c r="B25" s="497"/>
      <c r="C25" s="497" t="s">
        <v>1464</v>
      </c>
      <c r="D25" s="498">
        <v>4539.93</v>
      </c>
      <c r="G25" s="498">
        <f t="shared" si="0"/>
        <v>29779.988630100001</v>
      </c>
      <c r="H25" s="498">
        <f t="shared" si="0"/>
        <v>0</v>
      </c>
      <c r="I25" s="612">
        <v>4539.93</v>
      </c>
    </row>
    <row r="26" spans="1:10">
      <c r="A26" s="497" t="s">
        <v>696</v>
      </c>
      <c r="B26" s="497"/>
      <c r="C26" s="497" t="s">
        <v>521</v>
      </c>
      <c r="E26" s="498">
        <v>2138.1</v>
      </c>
      <c r="G26" s="498">
        <f t="shared" si="0"/>
        <v>0</v>
      </c>
      <c r="H26" s="498">
        <f t="shared" si="0"/>
        <v>14025.016616999999</v>
      </c>
      <c r="J26" s="612">
        <v>2138.1</v>
      </c>
    </row>
    <row r="27" spans="1:10">
      <c r="A27" s="497" t="s">
        <v>522</v>
      </c>
      <c r="B27" s="497"/>
      <c r="C27" s="497" t="s">
        <v>697</v>
      </c>
      <c r="E27" s="498">
        <v>2138.1</v>
      </c>
      <c r="G27" s="498">
        <f t="shared" si="0"/>
        <v>0</v>
      </c>
      <c r="H27" s="498">
        <f t="shared" si="0"/>
        <v>14025.016616999999</v>
      </c>
      <c r="J27" s="612">
        <v>2138.1</v>
      </c>
    </row>
    <row r="28" spans="1:10">
      <c r="A28" s="497" t="s">
        <v>698</v>
      </c>
      <c r="B28" s="497"/>
      <c r="C28" s="497" t="s">
        <v>514</v>
      </c>
      <c r="E28" s="498">
        <v>159869.54</v>
      </c>
      <c r="G28" s="498">
        <f t="shared" si="0"/>
        <v>0</v>
      </c>
      <c r="H28" s="498">
        <f t="shared" si="0"/>
        <v>1048675.4384978001</v>
      </c>
      <c r="J28" s="612">
        <v>159869.54</v>
      </c>
    </row>
    <row r="29" spans="1:10">
      <c r="A29" s="497" t="s">
        <v>526</v>
      </c>
      <c r="B29" s="497"/>
      <c r="C29" s="497" t="s">
        <v>621</v>
      </c>
      <c r="E29" s="498">
        <v>10338.66</v>
      </c>
      <c r="G29" s="498">
        <f t="shared" si="0"/>
        <v>0</v>
      </c>
      <c r="H29" s="498">
        <f t="shared" si="0"/>
        <v>67817.163976199998</v>
      </c>
      <c r="J29" s="612">
        <v>10338.66</v>
      </c>
    </row>
    <row r="30" spans="1:10">
      <c r="A30" s="497" t="s">
        <v>1334</v>
      </c>
      <c r="B30" s="497"/>
      <c r="C30" s="497" t="s">
        <v>1590</v>
      </c>
      <c r="E30" s="498">
        <v>9037.11</v>
      </c>
      <c r="G30" s="498">
        <f t="shared" si="0"/>
        <v>0</v>
      </c>
      <c r="H30" s="498">
        <f t="shared" si="0"/>
        <v>59279.555642700005</v>
      </c>
      <c r="J30" s="612">
        <v>9037.11</v>
      </c>
    </row>
    <row r="31" spans="1:10">
      <c r="A31" s="497" t="s">
        <v>1591</v>
      </c>
      <c r="B31" s="497"/>
      <c r="C31" s="497" t="s">
        <v>1592</v>
      </c>
      <c r="E31" s="498">
        <v>3173.33</v>
      </c>
      <c r="G31" s="498">
        <f t="shared" si="0"/>
        <v>0</v>
      </c>
      <c r="H31" s="498">
        <f t="shared" si="0"/>
        <v>20815.680268100001</v>
      </c>
      <c r="J31" s="612">
        <v>3173.33</v>
      </c>
    </row>
    <row r="32" spans="1:10">
      <c r="A32" s="497" t="s">
        <v>1593</v>
      </c>
      <c r="B32" s="497"/>
      <c r="C32" s="497" t="s">
        <v>1444</v>
      </c>
      <c r="E32" s="498">
        <v>59.07</v>
      </c>
      <c r="G32" s="498">
        <f t="shared" si="0"/>
        <v>0</v>
      </c>
      <c r="H32" s="498">
        <f t="shared" si="0"/>
        <v>387.47379990000002</v>
      </c>
      <c r="J32" s="612">
        <v>59.07</v>
      </c>
    </row>
    <row r="33" spans="1:10">
      <c r="A33" s="497" t="s">
        <v>1445</v>
      </c>
      <c r="B33" s="497"/>
      <c r="C33" s="497" t="s">
        <v>1446</v>
      </c>
      <c r="E33" s="498">
        <v>987.11</v>
      </c>
      <c r="G33" s="498">
        <f t="shared" si="0"/>
        <v>0</v>
      </c>
      <c r="H33" s="498">
        <f t="shared" si="0"/>
        <v>6475.0171426999996</v>
      </c>
      <c r="J33" s="612">
        <v>987.11</v>
      </c>
    </row>
    <row r="34" spans="1:10">
      <c r="A34" s="497" t="s">
        <v>1273</v>
      </c>
      <c r="B34" s="497"/>
      <c r="C34" s="497" t="s">
        <v>1333</v>
      </c>
      <c r="E34" s="498">
        <v>9137.7900000000009</v>
      </c>
      <c r="G34" s="498">
        <f t="shared" si="0"/>
        <v>0</v>
      </c>
      <c r="H34" s="498">
        <f t="shared" si="0"/>
        <v>59939.973150300008</v>
      </c>
      <c r="J34" s="612">
        <v>9137.7900000000009</v>
      </c>
    </row>
    <row r="35" spans="1:10">
      <c r="A35" s="497" t="s">
        <v>1391</v>
      </c>
      <c r="B35" s="497"/>
      <c r="C35" s="497" t="s">
        <v>1392</v>
      </c>
      <c r="E35" s="498">
        <v>9311.73</v>
      </c>
      <c r="G35" s="498">
        <f t="shared" si="0"/>
        <v>0</v>
      </c>
      <c r="H35" s="498">
        <f t="shared" si="0"/>
        <v>61080.944756099998</v>
      </c>
      <c r="J35" s="612">
        <v>9311.73</v>
      </c>
    </row>
    <row r="36" spans="1:10">
      <c r="A36" s="497" t="s">
        <v>1319</v>
      </c>
      <c r="B36" s="497"/>
      <c r="C36" s="497" t="s">
        <v>1492</v>
      </c>
      <c r="E36" s="498">
        <v>280.75</v>
      </c>
      <c r="G36" s="498">
        <f t="shared" si="0"/>
        <v>0</v>
      </c>
      <c r="H36" s="498">
        <f t="shared" si="0"/>
        <v>1841.5992775</v>
      </c>
      <c r="J36" s="612">
        <v>280.75</v>
      </c>
    </row>
    <row r="37" spans="1:10">
      <c r="A37" s="497" t="s">
        <v>1607</v>
      </c>
      <c r="B37" s="497"/>
      <c r="C37" s="497" t="s">
        <v>1403</v>
      </c>
      <c r="E37" s="498">
        <v>202195.09</v>
      </c>
      <c r="G37" s="498">
        <f t="shared" si="0"/>
        <v>0</v>
      </c>
      <c r="H37" s="498">
        <f t="shared" si="0"/>
        <v>1326312.8465113</v>
      </c>
      <c r="J37" s="612">
        <v>202195.09</v>
      </c>
    </row>
    <row r="38" spans="1:10">
      <c r="A38" s="497" t="s">
        <v>1404</v>
      </c>
      <c r="B38" s="497"/>
      <c r="C38" s="497" t="s">
        <v>1405</v>
      </c>
      <c r="E38" s="498">
        <v>204333.19</v>
      </c>
      <c r="G38" s="498">
        <f t="shared" si="0"/>
        <v>0</v>
      </c>
      <c r="H38" s="498">
        <f t="shared" si="0"/>
        <v>1340337.8631283001</v>
      </c>
      <c r="J38" s="612">
        <v>204333.19</v>
      </c>
    </row>
    <row r="39" spans="1:10">
      <c r="A39" s="500" t="s">
        <v>1406</v>
      </c>
      <c r="B39" s="500"/>
      <c r="C39" s="500" t="s">
        <v>1407</v>
      </c>
      <c r="D39" s="501">
        <v>476749.86</v>
      </c>
      <c r="E39" s="501">
        <v>204333.19</v>
      </c>
      <c r="F39" s="502"/>
      <c r="G39" s="501">
        <f t="shared" si="0"/>
        <v>3127274.0791602</v>
      </c>
      <c r="H39" s="501">
        <f t="shared" si="0"/>
        <v>1340337.8631283001</v>
      </c>
      <c r="I39" s="612">
        <v>526353.62</v>
      </c>
      <c r="J39" s="612">
        <v>204333.19</v>
      </c>
    </row>
    <row r="40" spans="1:10">
      <c r="A40" s="497" t="s">
        <v>1408</v>
      </c>
      <c r="B40" s="497"/>
      <c r="C40" s="497" t="s">
        <v>1242</v>
      </c>
      <c r="D40" s="498">
        <v>11499.72</v>
      </c>
      <c r="G40" s="498">
        <f t="shared" si="0"/>
        <v>75433.218320399988</v>
      </c>
      <c r="H40" s="498">
        <f t="shared" si="0"/>
        <v>0</v>
      </c>
      <c r="I40" s="612">
        <v>11499.72</v>
      </c>
    </row>
    <row r="41" spans="1:10">
      <c r="A41" s="497" t="s">
        <v>1243</v>
      </c>
      <c r="B41" s="497"/>
      <c r="C41" s="497" t="s">
        <v>623</v>
      </c>
      <c r="D41" s="498">
        <v>1219.5899999999999</v>
      </c>
      <c r="G41" s="498">
        <f t="shared" si="0"/>
        <v>7999.9859762999995</v>
      </c>
      <c r="H41" s="498">
        <f t="shared" si="0"/>
        <v>0</v>
      </c>
      <c r="I41" s="612">
        <v>1219.5899999999999</v>
      </c>
    </row>
    <row r="42" spans="1:10">
      <c r="A42" s="497" t="s">
        <v>1244</v>
      </c>
      <c r="B42" s="497"/>
      <c r="C42" s="497" t="s">
        <v>1380</v>
      </c>
      <c r="D42" s="498">
        <v>12719.31</v>
      </c>
      <c r="G42" s="498">
        <f t="shared" si="0"/>
        <v>83433.204296700002</v>
      </c>
      <c r="H42" s="498">
        <f t="shared" si="0"/>
        <v>0</v>
      </c>
      <c r="I42" s="612">
        <v>12719.31</v>
      </c>
    </row>
    <row r="43" spans="1:10">
      <c r="A43" s="497" t="s">
        <v>1245</v>
      </c>
      <c r="B43" s="497"/>
      <c r="C43" s="497" t="s">
        <v>1110</v>
      </c>
      <c r="D43" s="498">
        <v>5571.34</v>
      </c>
      <c r="G43" s="498">
        <f t="shared" si="0"/>
        <v>36545.594723800001</v>
      </c>
      <c r="H43" s="498">
        <f t="shared" si="0"/>
        <v>0</v>
      </c>
      <c r="I43" s="612">
        <v>5571.34</v>
      </c>
    </row>
    <row r="44" spans="1:10">
      <c r="A44" s="497" t="s">
        <v>959</v>
      </c>
      <c r="B44" s="497"/>
      <c r="C44" s="497" t="s">
        <v>1370</v>
      </c>
      <c r="D44" s="498">
        <v>30329.39</v>
      </c>
      <c r="G44" s="498">
        <f t="shared" si="0"/>
        <v>198947.75676230001</v>
      </c>
      <c r="H44" s="498">
        <f t="shared" si="0"/>
        <v>0</v>
      </c>
      <c r="I44" s="612">
        <v>30329.39</v>
      </c>
    </row>
    <row r="45" spans="1:10">
      <c r="A45" s="497" t="s">
        <v>1371</v>
      </c>
      <c r="B45" s="497"/>
      <c r="C45" s="497" t="s">
        <v>1171</v>
      </c>
      <c r="D45" s="498">
        <v>35900.730000000003</v>
      </c>
      <c r="G45" s="498">
        <f t="shared" si="0"/>
        <v>235493.35148610003</v>
      </c>
      <c r="H45" s="498">
        <f t="shared" si="0"/>
        <v>0</v>
      </c>
      <c r="I45" s="612">
        <v>35900.730000000003</v>
      </c>
    </row>
    <row r="46" spans="1:10">
      <c r="A46" s="500" t="s">
        <v>1172</v>
      </c>
      <c r="B46" s="500"/>
      <c r="C46" s="500" t="s">
        <v>1345</v>
      </c>
      <c r="D46" s="501">
        <v>48620.04</v>
      </c>
      <c r="E46" s="501"/>
      <c r="F46" s="502"/>
      <c r="G46" s="501">
        <f t="shared" si="0"/>
        <v>318926.55578280002</v>
      </c>
      <c r="H46" s="501">
        <f t="shared" si="0"/>
        <v>0</v>
      </c>
      <c r="I46" s="612">
        <v>48620.04</v>
      </c>
    </row>
    <row r="47" spans="1:10">
      <c r="A47" s="497" t="s">
        <v>1346</v>
      </c>
      <c r="B47" s="497"/>
      <c r="C47" s="497" t="s">
        <v>1347</v>
      </c>
      <c r="E47" s="498">
        <v>345636.05</v>
      </c>
      <c r="G47" s="498">
        <f t="shared" si="0"/>
        <v>0</v>
      </c>
      <c r="H47" s="498">
        <f t="shared" si="0"/>
        <v>2267223.8644984998</v>
      </c>
      <c r="J47" s="612">
        <v>27903.01</v>
      </c>
    </row>
    <row r="48" spans="1:10">
      <c r="A48" s="497" t="s">
        <v>1348</v>
      </c>
      <c r="B48" s="497"/>
      <c r="C48" s="497" t="s">
        <v>873</v>
      </c>
      <c r="E48" s="498">
        <v>2729.85</v>
      </c>
      <c r="G48" s="498">
        <f t="shared" si="0"/>
        <v>0</v>
      </c>
      <c r="H48" s="498">
        <f t="shared" si="0"/>
        <v>17906.642164500001</v>
      </c>
      <c r="J48" s="612">
        <v>2358.46</v>
      </c>
    </row>
    <row r="49" spans="1:10">
      <c r="A49" s="497" t="s">
        <v>1383</v>
      </c>
      <c r="B49" s="497"/>
      <c r="C49" s="497" t="s">
        <v>1292</v>
      </c>
      <c r="D49" s="498">
        <v>14964.6</v>
      </c>
      <c r="G49" s="498">
        <f t="shared" si="0"/>
        <v>98161.341222000003</v>
      </c>
      <c r="H49" s="498">
        <f t="shared" si="0"/>
        <v>0</v>
      </c>
      <c r="J49" s="612">
        <v>312783.46000000002</v>
      </c>
    </row>
    <row r="50" spans="1:10">
      <c r="A50" s="497" t="s">
        <v>1293</v>
      </c>
      <c r="B50" s="497"/>
      <c r="C50" s="497" t="s">
        <v>1140</v>
      </c>
      <c r="D50" s="498">
        <v>2286.73</v>
      </c>
      <c r="G50" s="498">
        <f t="shared" si="0"/>
        <v>14999.965506099999</v>
      </c>
      <c r="H50" s="498">
        <f t="shared" si="0"/>
        <v>0</v>
      </c>
      <c r="I50" s="612">
        <v>1017.98</v>
      </c>
    </row>
    <row r="51" spans="1:10">
      <c r="A51" s="497" t="s">
        <v>1141</v>
      </c>
      <c r="B51" s="497"/>
      <c r="C51" s="497" t="s">
        <v>1275</v>
      </c>
      <c r="D51" s="498">
        <v>17251.330000000002</v>
      </c>
      <c r="E51" s="498">
        <v>348365.9</v>
      </c>
      <c r="G51" s="498">
        <f t="shared" si="0"/>
        <v>113161.30672810001</v>
      </c>
      <c r="H51" s="498">
        <f t="shared" si="0"/>
        <v>2285130.5066630002</v>
      </c>
      <c r="I51" s="612">
        <v>2286.73</v>
      </c>
    </row>
    <row r="52" spans="1:10">
      <c r="A52" s="497" t="s">
        <v>1276</v>
      </c>
      <c r="B52" s="497"/>
      <c r="C52" s="497" t="s">
        <v>1384</v>
      </c>
      <c r="D52" s="498">
        <v>354820.81</v>
      </c>
      <c r="G52" s="498">
        <f t="shared" si="0"/>
        <v>2327471.9406516999</v>
      </c>
      <c r="H52" s="498">
        <f t="shared" si="0"/>
        <v>0</v>
      </c>
      <c r="I52" s="612">
        <v>3304.71</v>
      </c>
      <c r="J52" s="612">
        <v>343044.93</v>
      </c>
    </row>
    <row r="53" spans="1:10">
      <c r="A53" s="497" t="s">
        <v>1385</v>
      </c>
      <c r="B53" s="497"/>
      <c r="C53" s="497" t="s">
        <v>1450</v>
      </c>
      <c r="D53" s="498">
        <v>71811.98</v>
      </c>
      <c r="G53" s="498">
        <f t="shared" si="0"/>
        <v>471055.70964859996</v>
      </c>
      <c r="H53" s="498">
        <f t="shared" si="0"/>
        <v>0</v>
      </c>
      <c r="I53" s="612">
        <v>260020.28</v>
      </c>
    </row>
    <row r="54" spans="1:10">
      <c r="A54" s="497" t="s">
        <v>1451</v>
      </c>
      <c r="B54" s="497"/>
      <c r="C54" s="497" t="s">
        <v>430</v>
      </c>
      <c r="D54" s="498">
        <v>10280.58</v>
      </c>
      <c r="G54" s="498">
        <f t="shared" si="0"/>
        <v>67436.184150600006</v>
      </c>
      <c r="H54" s="498">
        <f t="shared" si="0"/>
        <v>0</v>
      </c>
      <c r="I54" s="612">
        <v>64711.37</v>
      </c>
    </row>
    <row r="55" spans="1:10">
      <c r="A55" s="497" t="s">
        <v>1452</v>
      </c>
      <c r="B55" s="497"/>
      <c r="C55" s="497" t="s">
        <v>1625</v>
      </c>
      <c r="D55" s="498">
        <v>436913.37</v>
      </c>
      <c r="G55" s="498">
        <f t="shared" si="0"/>
        <v>2865963.8344509001</v>
      </c>
      <c r="H55" s="498">
        <f t="shared" si="0"/>
        <v>0</v>
      </c>
      <c r="I55" s="612">
        <v>8464.93</v>
      </c>
    </row>
    <row r="56" spans="1:10">
      <c r="A56" s="497" t="s">
        <v>1124</v>
      </c>
      <c r="B56" s="497"/>
      <c r="C56" s="497" t="s">
        <v>253</v>
      </c>
      <c r="E56" s="498">
        <v>821.32</v>
      </c>
      <c r="G56" s="498">
        <f t="shared" si="0"/>
        <v>0</v>
      </c>
      <c r="H56" s="498">
        <f t="shared" si="0"/>
        <v>5387.5060324000005</v>
      </c>
      <c r="I56" s="612">
        <v>10280.58</v>
      </c>
    </row>
    <row r="57" spans="1:10">
      <c r="A57" s="497" t="s">
        <v>1603</v>
      </c>
      <c r="B57" s="497"/>
      <c r="C57" s="497" t="s">
        <v>913</v>
      </c>
      <c r="D57" s="498">
        <v>6456.42</v>
      </c>
      <c r="G57" s="498">
        <f t="shared" si="0"/>
        <v>42351.338939399997</v>
      </c>
      <c r="H57" s="498">
        <f t="shared" si="0"/>
        <v>0</v>
      </c>
      <c r="I57" s="612">
        <v>343477.16</v>
      </c>
    </row>
    <row r="58" spans="1:10">
      <c r="A58" s="497" t="s">
        <v>914</v>
      </c>
      <c r="B58" s="497"/>
      <c r="C58" s="497" t="s">
        <v>1070</v>
      </c>
      <c r="E58" s="498">
        <v>591.65</v>
      </c>
      <c r="G58" s="498">
        <f t="shared" si="0"/>
        <v>0</v>
      </c>
      <c r="H58" s="498">
        <f t="shared" si="0"/>
        <v>3880.9695904999999</v>
      </c>
      <c r="J58" s="612">
        <v>811.98</v>
      </c>
    </row>
    <row r="59" spans="1:10">
      <c r="A59" s="497" t="s">
        <v>1071</v>
      </c>
      <c r="B59" s="497"/>
      <c r="C59" s="497" t="s">
        <v>1195</v>
      </c>
      <c r="D59" s="498">
        <v>6456.42</v>
      </c>
      <c r="E59" s="498">
        <v>1412.97</v>
      </c>
      <c r="G59" s="498">
        <f t="shared" si="0"/>
        <v>42351.338939399997</v>
      </c>
      <c r="H59" s="498">
        <f t="shared" si="0"/>
        <v>9268.4756228999995</v>
      </c>
      <c r="I59" s="612">
        <v>12472.09</v>
      </c>
    </row>
    <row r="60" spans="1:10">
      <c r="A60" s="497" t="s">
        <v>1034</v>
      </c>
      <c r="B60" s="497"/>
      <c r="C60" s="497" t="s">
        <v>1035</v>
      </c>
      <c r="E60" s="498">
        <v>13734.78</v>
      </c>
      <c r="G60" s="498">
        <f t="shared" si="0"/>
        <v>0</v>
      </c>
      <c r="H60" s="498">
        <f t="shared" si="0"/>
        <v>90094.250844599999</v>
      </c>
      <c r="J60" s="612">
        <v>103.81</v>
      </c>
    </row>
    <row r="61" spans="1:10">
      <c r="A61" s="497" t="s">
        <v>1036</v>
      </c>
      <c r="B61" s="497"/>
      <c r="C61" s="497" t="s">
        <v>549</v>
      </c>
      <c r="D61" s="498">
        <v>32.93</v>
      </c>
      <c r="G61" s="498">
        <f t="shared" si="0"/>
        <v>216.0066401</v>
      </c>
      <c r="H61" s="498">
        <f t="shared" si="0"/>
        <v>0</v>
      </c>
      <c r="I61" s="612">
        <v>12472.09</v>
      </c>
      <c r="J61" s="612">
        <v>915.79</v>
      </c>
    </row>
    <row r="62" spans="1:10">
      <c r="A62" s="497" t="s">
        <v>550</v>
      </c>
      <c r="B62" s="497"/>
      <c r="C62" s="497" t="s">
        <v>187</v>
      </c>
      <c r="E62" s="498">
        <v>719.58</v>
      </c>
      <c r="G62" s="498">
        <f t="shared" si="0"/>
        <v>0</v>
      </c>
      <c r="H62" s="498">
        <f t="shared" si="0"/>
        <v>4720.1353806000006</v>
      </c>
      <c r="J62" s="612">
        <v>7607.62</v>
      </c>
    </row>
    <row r="63" spans="1:10">
      <c r="A63" s="497" t="s">
        <v>188</v>
      </c>
      <c r="B63" s="497"/>
      <c r="C63" s="497" t="s">
        <v>189</v>
      </c>
      <c r="E63" s="498">
        <v>2671.68</v>
      </c>
      <c r="G63" s="498">
        <f t="shared" si="0"/>
        <v>0</v>
      </c>
      <c r="H63" s="498">
        <f t="shared" si="0"/>
        <v>17525.071977599997</v>
      </c>
      <c r="I63" s="612">
        <v>21.94</v>
      </c>
    </row>
    <row r="64" spans="1:10">
      <c r="A64" s="497" t="s">
        <v>190</v>
      </c>
      <c r="B64" s="497"/>
      <c r="C64" s="497" t="s">
        <v>191</v>
      </c>
      <c r="E64" s="498">
        <v>1579.09</v>
      </c>
      <c r="G64" s="498">
        <f t="shared" si="0"/>
        <v>0</v>
      </c>
      <c r="H64" s="498">
        <f t="shared" si="0"/>
        <v>10358.1513913</v>
      </c>
      <c r="J64" s="612">
        <v>1048.1400000000001</v>
      </c>
    </row>
    <row r="65" spans="1:10">
      <c r="A65" s="497" t="s">
        <v>192</v>
      </c>
      <c r="B65" s="497"/>
      <c r="C65" s="497" t="s">
        <v>193</v>
      </c>
      <c r="E65" s="498">
        <v>3003.1</v>
      </c>
      <c r="G65" s="498">
        <f t="shared" si="0"/>
        <v>0</v>
      </c>
      <c r="H65" s="498">
        <f t="shared" si="0"/>
        <v>19699.044666999998</v>
      </c>
      <c r="J65" s="612">
        <v>2768.7</v>
      </c>
    </row>
    <row r="66" spans="1:10">
      <c r="A66" s="497" t="s">
        <v>194</v>
      </c>
      <c r="B66" s="497"/>
      <c r="C66" s="497" t="s">
        <v>195</v>
      </c>
      <c r="D66" s="498">
        <v>370.14</v>
      </c>
      <c r="G66" s="498">
        <f t="shared" si="0"/>
        <v>2427.9592398</v>
      </c>
      <c r="H66" s="498">
        <f t="shared" si="0"/>
        <v>0</v>
      </c>
      <c r="J66" s="612">
        <v>1287.06</v>
      </c>
    </row>
    <row r="67" spans="1:10">
      <c r="A67" s="497" t="s">
        <v>196</v>
      </c>
      <c r="B67" s="497"/>
      <c r="C67" s="497" t="s">
        <v>202</v>
      </c>
      <c r="D67" s="498">
        <v>403.07</v>
      </c>
      <c r="E67" s="498">
        <v>21708.23</v>
      </c>
      <c r="G67" s="498">
        <f t="shared" si="0"/>
        <v>2643.9658798999999</v>
      </c>
      <c r="H67" s="498">
        <f t="shared" si="0"/>
        <v>142396.65426109999</v>
      </c>
      <c r="J67" s="612">
        <v>2564.4499999999998</v>
      </c>
    </row>
    <row r="68" spans="1:10">
      <c r="A68" s="497" t="s">
        <v>203</v>
      </c>
      <c r="B68" s="497"/>
      <c r="C68" s="497" t="s">
        <v>79</v>
      </c>
      <c r="D68" s="498">
        <v>3811.23</v>
      </c>
      <c r="G68" s="498">
        <f t="shared" ref="G68:H131" si="1">+D68*6.55957</f>
        <v>25000.029971100001</v>
      </c>
      <c r="H68" s="498">
        <f t="shared" si="1"/>
        <v>0</v>
      </c>
      <c r="J68" s="612">
        <v>391.69</v>
      </c>
    </row>
    <row r="69" spans="1:10">
      <c r="A69" s="497" t="s">
        <v>80</v>
      </c>
      <c r="B69" s="497"/>
      <c r="C69" s="497" t="s">
        <v>99</v>
      </c>
      <c r="G69" s="498">
        <f t="shared" si="1"/>
        <v>0</v>
      </c>
      <c r="H69" s="498">
        <f t="shared" si="1"/>
        <v>0</v>
      </c>
      <c r="I69" s="612">
        <v>21.94</v>
      </c>
      <c r="J69" s="612">
        <v>15667.66</v>
      </c>
    </row>
    <row r="70" spans="1:10">
      <c r="A70" s="497" t="s">
        <v>100</v>
      </c>
      <c r="B70" s="497"/>
      <c r="C70" s="497" t="s">
        <v>633</v>
      </c>
      <c r="D70" s="498">
        <v>1528.94</v>
      </c>
      <c r="G70" s="498">
        <f t="shared" si="1"/>
        <v>10029.1889558</v>
      </c>
      <c r="H70" s="498">
        <f t="shared" si="1"/>
        <v>0</v>
      </c>
      <c r="I70" s="612">
        <v>3811.23</v>
      </c>
    </row>
    <row r="71" spans="1:10">
      <c r="A71" s="497" t="s">
        <v>463</v>
      </c>
      <c r="B71" s="497"/>
      <c r="C71" s="497" t="s">
        <v>644</v>
      </c>
      <c r="D71" s="498">
        <v>13.66</v>
      </c>
      <c r="G71" s="498">
        <f t="shared" si="1"/>
        <v>89.603726199999997</v>
      </c>
      <c r="H71" s="498">
        <f t="shared" si="1"/>
        <v>0</v>
      </c>
      <c r="I71" s="612">
        <v>4124.2</v>
      </c>
    </row>
    <row r="72" spans="1:10">
      <c r="A72" s="497" t="s">
        <v>462</v>
      </c>
      <c r="B72" s="497"/>
      <c r="C72" s="497" t="s">
        <v>295</v>
      </c>
      <c r="G72" s="498">
        <f t="shared" si="1"/>
        <v>0</v>
      </c>
      <c r="H72" s="498">
        <f t="shared" si="1"/>
        <v>0</v>
      </c>
      <c r="I72" s="612">
        <v>4889.91</v>
      </c>
    </row>
    <row r="73" spans="1:10">
      <c r="A73" s="497" t="s">
        <v>296</v>
      </c>
      <c r="B73" s="497"/>
      <c r="C73" s="497" t="s">
        <v>290</v>
      </c>
      <c r="D73" s="498">
        <v>507.32</v>
      </c>
      <c r="G73" s="498">
        <f t="shared" si="1"/>
        <v>3327.8010524000001</v>
      </c>
      <c r="H73" s="498">
        <f t="shared" si="1"/>
        <v>0</v>
      </c>
      <c r="I73" s="612">
        <v>391.22</v>
      </c>
    </row>
    <row r="74" spans="1:10">
      <c r="A74" s="497" t="s">
        <v>291</v>
      </c>
      <c r="B74" s="497"/>
      <c r="C74" s="497" t="s">
        <v>292</v>
      </c>
      <c r="D74" s="498">
        <v>535.04999999999995</v>
      </c>
      <c r="G74" s="498">
        <f t="shared" si="1"/>
        <v>3509.6979284999998</v>
      </c>
      <c r="H74" s="498">
        <f t="shared" si="1"/>
        <v>0</v>
      </c>
      <c r="J74" s="612">
        <v>425.8</v>
      </c>
    </row>
    <row r="75" spans="1:10">
      <c r="A75" s="497" t="s">
        <v>293</v>
      </c>
      <c r="B75" s="497"/>
      <c r="C75" s="497" t="s">
        <v>294</v>
      </c>
      <c r="E75" s="498">
        <v>425.8</v>
      </c>
      <c r="G75" s="498">
        <f t="shared" si="1"/>
        <v>0</v>
      </c>
      <c r="H75" s="498">
        <f t="shared" si="1"/>
        <v>2793.0649060000001</v>
      </c>
      <c r="J75" s="612">
        <v>867.36</v>
      </c>
    </row>
    <row r="76" spans="1:10">
      <c r="A76" s="497" t="s">
        <v>491</v>
      </c>
      <c r="B76" s="497"/>
      <c r="C76" s="497" t="s">
        <v>492</v>
      </c>
      <c r="E76" s="498">
        <v>592.72</v>
      </c>
      <c r="G76" s="498">
        <f t="shared" si="1"/>
        <v>0</v>
      </c>
      <c r="H76" s="498">
        <f t="shared" si="1"/>
        <v>3887.9883304</v>
      </c>
      <c r="J76" s="612">
        <v>4344.22</v>
      </c>
    </row>
    <row r="77" spans="1:10">
      <c r="A77" s="497" t="s">
        <v>493</v>
      </c>
      <c r="B77" s="497"/>
      <c r="C77" s="497" t="s">
        <v>398</v>
      </c>
      <c r="E77" s="498">
        <v>9689.81</v>
      </c>
      <c r="G77" s="498">
        <f t="shared" si="1"/>
        <v>0</v>
      </c>
      <c r="H77" s="498">
        <f t="shared" si="1"/>
        <v>63560.986981699993</v>
      </c>
      <c r="J77" s="612">
        <v>37497.58</v>
      </c>
    </row>
    <row r="78" spans="1:10">
      <c r="A78" s="497" t="s">
        <v>399</v>
      </c>
      <c r="B78" s="497"/>
      <c r="C78" s="497" t="s">
        <v>400</v>
      </c>
      <c r="E78" s="498">
        <v>22008.080000000002</v>
      </c>
      <c r="G78" s="498">
        <f t="shared" si="1"/>
        <v>0</v>
      </c>
      <c r="H78" s="498">
        <f t="shared" si="1"/>
        <v>144363.5413256</v>
      </c>
      <c r="J78" s="612">
        <v>391.22</v>
      </c>
    </row>
    <row r="79" spans="1:10">
      <c r="A79" s="497" t="s">
        <v>287</v>
      </c>
      <c r="B79" s="497"/>
      <c r="C79" s="497" t="s">
        <v>288</v>
      </c>
      <c r="E79" s="498">
        <v>535.04999999999995</v>
      </c>
      <c r="G79" s="498">
        <f t="shared" si="1"/>
        <v>0</v>
      </c>
      <c r="H79" s="498">
        <f t="shared" si="1"/>
        <v>3509.6979284999998</v>
      </c>
      <c r="J79" s="612">
        <v>129.79</v>
      </c>
    </row>
    <row r="80" spans="1:10">
      <c r="A80" s="497" t="s">
        <v>289</v>
      </c>
      <c r="B80" s="497"/>
      <c r="C80" s="497" t="s">
        <v>827</v>
      </c>
      <c r="D80" s="498">
        <v>6396.2</v>
      </c>
      <c r="E80" s="498">
        <v>33251.46</v>
      </c>
      <c r="G80" s="498">
        <f t="shared" si="1"/>
        <v>41956.321634</v>
      </c>
      <c r="H80" s="498">
        <f t="shared" si="1"/>
        <v>218115.2794722</v>
      </c>
      <c r="J80" s="612">
        <v>121.02</v>
      </c>
    </row>
    <row r="81" spans="1:10">
      <c r="A81" s="497" t="s">
        <v>537</v>
      </c>
      <c r="B81" s="497"/>
      <c r="C81" s="497" t="s">
        <v>360</v>
      </c>
      <c r="D81" s="498">
        <v>3630.24</v>
      </c>
      <c r="G81" s="498">
        <f t="shared" si="1"/>
        <v>23812.813396799997</v>
      </c>
      <c r="H81" s="498">
        <f t="shared" si="1"/>
        <v>0</v>
      </c>
      <c r="I81" s="612">
        <v>13216.56</v>
      </c>
      <c r="J81" s="612">
        <v>43776.99</v>
      </c>
    </row>
    <row r="82" spans="1:10">
      <c r="A82" s="497" t="s">
        <v>567</v>
      </c>
      <c r="B82" s="497"/>
      <c r="C82" s="497" t="s">
        <v>568</v>
      </c>
      <c r="D82" s="498">
        <v>866.75</v>
      </c>
      <c r="G82" s="498">
        <f t="shared" si="1"/>
        <v>5685.5072975000003</v>
      </c>
      <c r="H82" s="498">
        <f t="shared" si="1"/>
        <v>0</v>
      </c>
      <c r="I82" s="612">
        <v>3630.24</v>
      </c>
    </row>
    <row r="83" spans="1:10">
      <c r="A83" s="497" t="s">
        <v>531</v>
      </c>
      <c r="B83" s="497"/>
      <c r="C83" s="497" t="s">
        <v>532</v>
      </c>
      <c r="D83" s="498">
        <v>4496.99</v>
      </c>
      <c r="G83" s="498">
        <f t="shared" si="1"/>
        <v>29498.320694299997</v>
      </c>
      <c r="H83" s="498">
        <f t="shared" si="1"/>
        <v>0</v>
      </c>
      <c r="I83" s="612">
        <v>866.75</v>
      </c>
    </row>
    <row r="84" spans="1:10">
      <c r="A84" s="497" t="s">
        <v>362</v>
      </c>
      <c r="B84" s="497"/>
      <c r="C84" s="497" t="s">
        <v>426</v>
      </c>
      <c r="E84" s="498">
        <v>4.13</v>
      </c>
      <c r="G84" s="498">
        <f t="shared" si="1"/>
        <v>0</v>
      </c>
      <c r="H84" s="498">
        <f t="shared" si="1"/>
        <v>27.091024099999998</v>
      </c>
      <c r="I84" s="612">
        <v>4496.99</v>
      </c>
    </row>
    <row r="85" spans="1:10">
      <c r="A85" s="497" t="s">
        <v>427</v>
      </c>
      <c r="B85" s="497"/>
      <c r="C85" s="497" t="s">
        <v>602</v>
      </c>
      <c r="E85" s="498">
        <v>4.13</v>
      </c>
      <c r="G85" s="498">
        <f t="shared" si="1"/>
        <v>0</v>
      </c>
      <c r="H85" s="498">
        <f t="shared" si="1"/>
        <v>27.091024099999998</v>
      </c>
      <c r="J85" s="612">
        <v>4.13</v>
      </c>
    </row>
    <row r="86" spans="1:10">
      <c r="A86" s="497" t="s">
        <v>603</v>
      </c>
      <c r="B86" s="497"/>
      <c r="C86" s="497" t="s">
        <v>106</v>
      </c>
      <c r="D86" s="498">
        <v>3934.84</v>
      </c>
      <c r="G86" s="498">
        <f t="shared" si="1"/>
        <v>25810.858418800002</v>
      </c>
      <c r="H86" s="498">
        <f t="shared" si="1"/>
        <v>0</v>
      </c>
      <c r="J86" s="612">
        <v>4.13</v>
      </c>
    </row>
    <row r="87" spans="1:10">
      <c r="A87" s="497" t="s">
        <v>558</v>
      </c>
      <c r="B87" s="497"/>
      <c r="C87" s="497" t="s">
        <v>83</v>
      </c>
      <c r="D87" s="498">
        <v>1534.02</v>
      </c>
      <c r="G87" s="498">
        <f t="shared" si="1"/>
        <v>10062.5115714</v>
      </c>
      <c r="H87" s="498">
        <f t="shared" si="1"/>
        <v>0</v>
      </c>
      <c r="I87" s="612">
        <v>3934.84</v>
      </c>
    </row>
    <row r="88" spans="1:10">
      <c r="A88" s="497" t="s">
        <v>84</v>
      </c>
      <c r="B88" s="497"/>
      <c r="C88" s="497" t="s">
        <v>85</v>
      </c>
      <c r="D88" s="498">
        <v>2895.28</v>
      </c>
      <c r="G88" s="498">
        <f t="shared" si="1"/>
        <v>18991.791829600003</v>
      </c>
      <c r="H88" s="498">
        <f t="shared" si="1"/>
        <v>0</v>
      </c>
      <c r="I88" s="612">
        <v>3062.99</v>
      </c>
    </row>
    <row r="89" spans="1:10">
      <c r="A89" s="497" t="s">
        <v>86</v>
      </c>
      <c r="B89" s="497"/>
      <c r="C89" s="497" t="s">
        <v>32</v>
      </c>
      <c r="E89" s="498">
        <v>47803.8</v>
      </c>
      <c r="G89" s="498">
        <f t="shared" si="1"/>
        <v>0</v>
      </c>
      <c r="H89" s="498">
        <f t="shared" si="1"/>
        <v>313572.37236600003</v>
      </c>
      <c r="I89" s="612">
        <v>1670.87</v>
      </c>
    </row>
    <row r="90" spans="1:10">
      <c r="A90" s="497" t="s">
        <v>499</v>
      </c>
      <c r="B90" s="497"/>
      <c r="C90" s="497" t="s">
        <v>748</v>
      </c>
      <c r="D90" s="498">
        <v>83.22</v>
      </c>
      <c r="G90" s="498">
        <f t="shared" si="1"/>
        <v>545.88741540000001</v>
      </c>
      <c r="H90" s="498">
        <f t="shared" si="1"/>
        <v>0</v>
      </c>
      <c r="J90" s="612">
        <v>58415.4</v>
      </c>
    </row>
    <row r="91" spans="1:10">
      <c r="A91" s="497" t="s">
        <v>749</v>
      </c>
      <c r="B91" s="497"/>
      <c r="C91" s="497" t="s">
        <v>750</v>
      </c>
      <c r="D91" s="498">
        <v>41.89</v>
      </c>
      <c r="G91" s="498">
        <f t="shared" si="1"/>
        <v>274.78038729999997</v>
      </c>
      <c r="H91" s="498">
        <f t="shared" si="1"/>
        <v>0</v>
      </c>
      <c r="I91" s="612">
        <v>166.45</v>
      </c>
    </row>
    <row r="92" spans="1:10">
      <c r="A92" s="497" t="s">
        <v>751</v>
      </c>
      <c r="B92" s="497"/>
      <c r="C92" s="497" t="s">
        <v>391</v>
      </c>
      <c r="D92" s="498">
        <v>131.47</v>
      </c>
      <c r="G92" s="498">
        <f t="shared" si="1"/>
        <v>862.38666790000002</v>
      </c>
      <c r="H92" s="498">
        <f t="shared" si="1"/>
        <v>0</v>
      </c>
      <c r="I92" s="612">
        <v>734.77</v>
      </c>
    </row>
    <row r="93" spans="1:10">
      <c r="A93" s="497" t="s">
        <v>392</v>
      </c>
      <c r="B93" s="497"/>
      <c r="C93" s="497" t="s">
        <v>393</v>
      </c>
      <c r="E93" s="498">
        <v>12005.35</v>
      </c>
      <c r="G93" s="498">
        <f t="shared" si="1"/>
        <v>0</v>
      </c>
      <c r="H93" s="498">
        <f t="shared" si="1"/>
        <v>78749.933699500005</v>
      </c>
      <c r="J93" s="612">
        <v>1200</v>
      </c>
    </row>
    <row r="94" spans="1:10">
      <c r="A94" s="497" t="s">
        <v>394</v>
      </c>
      <c r="B94" s="497"/>
      <c r="C94" s="497" t="s">
        <v>1320</v>
      </c>
      <c r="D94" s="498">
        <v>8620.7199999999993</v>
      </c>
      <c r="E94" s="498">
        <v>59809.15</v>
      </c>
      <c r="G94" s="498">
        <f t="shared" si="1"/>
        <v>56548.216290399992</v>
      </c>
      <c r="H94" s="498">
        <f t="shared" si="1"/>
        <v>392322.30606550002</v>
      </c>
      <c r="I94" s="612">
        <v>9569.92</v>
      </c>
      <c r="J94" s="612">
        <v>59615.4</v>
      </c>
    </row>
    <row r="95" spans="1:10">
      <c r="A95" s="497" t="s">
        <v>1008</v>
      </c>
      <c r="B95" s="497"/>
      <c r="C95" s="497" t="s">
        <v>1312</v>
      </c>
      <c r="E95" s="498">
        <v>10025.280000000001</v>
      </c>
      <c r="G95" s="498">
        <f t="shared" si="1"/>
        <v>0</v>
      </c>
      <c r="H95" s="498">
        <f t="shared" si="1"/>
        <v>65761.5259296</v>
      </c>
      <c r="J95" s="612">
        <v>10025.280000000001</v>
      </c>
    </row>
    <row r="96" spans="1:10">
      <c r="A96" s="497" t="s">
        <v>752</v>
      </c>
      <c r="B96" s="497"/>
      <c r="C96" s="497" t="s">
        <v>840</v>
      </c>
      <c r="E96" s="498">
        <v>10025.280000000001</v>
      </c>
      <c r="G96" s="498">
        <f t="shared" si="1"/>
        <v>0</v>
      </c>
      <c r="H96" s="498">
        <f t="shared" si="1"/>
        <v>65761.5259296</v>
      </c>
      <c r="J96" s="612">
        <v>10025.280000000001</v>
      </c>
    </row>
    <row r="97" spans="1:10">
      <c r="A97" s="500" t="s">
        <v>841</v>
      </c>
      <c r="B97" s="500"/>
      <c r="C97" s="500" t="s">
        <v>754</v>
      </c>
      <c r="D97" s="501">
        <v>480538.1</v>
      </c>
      <c r="E97" s="501">
        <v>474577.12</v>
      </c>
      <c r="F97" s="502"/>
      <c r="G97" s="501">
        <f t="shared" si="1"/>
        <v>3152123.3046169998</v>
      </c>
      <c r="H97" s="501">
        <f t="shared" si="1"/>
        <v>3113021.8390384</v>
      </c>
      <c r="I97" s="612">
        <v>386559.37</v>
      </c>
      <c r="J97" s="612">
        <v>473050.18</v>
      </c>
    </row>
    <row r="98" spans="1:10">
      <c r="A98" s="497" t="s">
        <v>1483</v>
      </c>
      <c r="B98" s="497"/>
      <c r="C98" s="497" t="s">
        <v>1484</v>
      </c>
      <c r="D98" s="498">
        <v>22646.76</v>
      </c>
      <c r="G98" s="498">
        <f t="shared" si="1"/>
        <v>148553.00749319998</v>
      </c>
      <c r="H98" s="498">
        <f t="shared" si="1"/>
        <v>0</v>
      </c>
      <c r="I98" s="612">
        <v>5666.69</v>
      </c>
    </row>
    <row r="99" spans="1:10">
      <c r="A99" s="497" t="s">
        <v>1485</v>
      </c>
      <c r="B99" s="497"/>
      <c r="C99" s="497" t="s">
        <v>1433</v>
      </c>
      <c r="D99" s="498">
        <v>11398.61</v>
      </c>
      <c r="G99" s="498">
        <f t="shared" si="1"/>
        <v>74769.980197700002</v>
      </c>
      <c r="H99" s="498">
        <f t="shared" si="1"/>
        <v>0</v>
      </c>
      <c r="J99" s="612">
        <v>0.01</v>
      </c>
    </row>
    <row r="100" spans="1:10">
      <c r="A100" s="497" t="s">
        <v>389</v>
      </c>
      <c r="B100" s="497"/>
      <c r="C100" s="497" t="s">
        <v>390</v>
      </c>
      <c r="E100" s="498">
        <v>4262.8999999999996</v>
      </c>
      <c r="G100" s="498">
        <f t="shared" si="1"/>
        <v>0</v>
      </c>
      <c r="H100" s="498">
        <f t="shared" si="1"/>
        <v>27962.790952999996</v>
      </c>
      <c r="J100" s="612">
        <v>4262.8999999999996</v>
      </c>
    </row>
    <row r="101" spans="1:10">
      <c r="A101" s="497" t="s">
        <v>931</v>
      </c>
      <c r="B101" s="497"/>
      <c r="C101" s="497" t="s">
        <v>932</v>
      </c>
      <c r="D101" s="498">
        <v>27.65</v>
      </c>
      <c r="G101" s="498">
        <f t="shared" si="1"/>
        <v>181.37211049999999</v>
      </c>
      <c r="H101" s="498">
        <f t="shared" si="1"/>
        <v>0</v>
      </c>
      <c r="I101" s="612">
        <v>27.65</v>
      </c>
    </row>
    <row r="102" spans="1:10">
      <c r="A102" s="497" t="s">
        <v>933</v>
      </c>
      <c r="B102" s="497"/>
      <c r="C102" s="497" t="s">
        <v>945</v>
      </c>
      <c r="D102" s="498">
        <v>52787.9</v>
      </c>
      <c r="G102" s="498">
        <f t="shared" si="1"/>
        <v>346265.92520300002</v>
      </c>
      <c r="H102" s="498">
        <f t="shared" si="1"/>
        <v>0</v>
      </c>
      <c r="I102" s="612">
        <v>48804.01</v>
      </c>
    </row>
    <row r="103" spans="1:10">
      <c r="A103" s="497" t="s">
        <v>946</v>
      </c>
      <c r="B103" s="497"/>
      <c r="C103" s="497" t="s">
        <v>947</v>
      </c>
      <c r="D103" s="498">
        <v>43731.94</v>
      </c>
      <c r="G103" s="498">
        <f t="shared" si="1"/>
        <v>286862.72166580003</v>
      </c>
      <c r="H103" s="498">
        <f t="shared" si="1"/>
        <v>0</v>
      </c>
      <c r="I103" s="612">
        <v>44679.74</v>
      </c>
    </row>
    <row r="104" spans="1:10">
      <c r="A104" s="497" t="s">
        <v>1102</v>
      </c>
      <c r="B104" s="497"/>
      <c r="C104" s="497" t="s">
        <v>1103</v>
      </c>
      <c r="D104" s="498">
        <v>4518.53</v>
      </c>
      <c r="G104" s="498">
        <f t="shared" si="1"/>
        <v>29639.613832099996</v>
      </c>
      <c r="H104" s="498">
        <f t="shared" si="1"/>
        <v>0</v>
      </c>
      <c r="I104" s="612">
        <v>64979.77</v>
      </c>
    </row>
    <row r="105" spans="1:10">
      <c r="A105" s="497" t="s">
        <v>1104</v>
      </c>
      <c r="B105" s="497"/>
      <c r="C105" s="497" t="s">
        <v>1105</v>
      </c>
      <c r="D105" s="498">
        <v>135111.39000000001</v>
      </c>
      <c r="E105" s="498">
        <v>4262.8999999999996</v>
      </c>
      <c r="G105" s="498">
        <f t="shared" si="1"/>
        <v>886272.62050230009</v>
      </c>
      <c r="H105" s="498">
        <f t="shared" si="1"/>
        <v>27962.790952999996</v>
      </c>
      <c r="I105" s="612">
        <v>164157.85999999999</v>
      </c>
      <c r="J105" s="612">
        <v>4262.91</v>
      </c>
    </row>
    <row r="106" spans="1:10">
      <c r="A106" s="497" t="s">
        <v>1106</v>
      </c>
      <c r="B106" s="497"/>
      <c r="C106" s="497" t="s">
        <v>811</v>
      </c>
      <c r="D106" s="498">
        <v>135111.39000000001</v>
      </c>
      <c r="E106" s="498">
        <v>4262.8999999999996</v>
      </c>
      <c r="G106" s="498">
        <f t="shared" si="1"/>
        <v>886272.62050230009</v>
      </c>
      <c r="H106" s="498">
        <f t="shared" si="1"/>
        <v>27962.790952999996</v>
      </c>
      <c r="I106" s="612">
        <v>164157.85999999999</v>
      </c>
      <c r="J106" s="612">
        <v>4262.91</v>
      </c>
    </row>
    <row r="107" spans="1:10">
      <c r="A107" s="497" t="s">
        <v>812</v>
      </c>
      <c r="B107" s="497"/>
      <c r="C107" s="497" t="s">
        <v>813</v>
      </c>
      <c r="D107" s="498">
        <v>105.39</v>
      </c>
      <c r="G107" s="498">
        <f t="shared" si="1"/>
        <v>691.31308230000002</v>
      </c>
      <c r="H107" s="498">
        <f t="shared" si="1"/>
        <v>0</v>
      </c>
      <c r="I107" s="612">
        <v>105.39</v>
      </c>
    </row>
    <row r="108" spans="1:10">
      <c r="A108" s="497" t="s">
        <v>1279</v>
      </c>
      <c r="B108" s="497"/>
      <c r="C108" s="497" t="s">
        <v>1526</v>
      </c>
      <c r="D108" s="498">
        <v>90.58</v>
      </c>
      <c r="G108" s="498">
        <f t="shared" si="1"/>
        <v>594.1658506</v>
      </c>
      <c r="H108" s="498">
        <f t="shared" si="1"/>
        <v>0</v>
      </c>
      <c r="I108" s="612">
        <v>90.58</v>
      </c>
    </row>
    <row r="109" spans="1:10">
      <c r="A109" s="497" t="s">
        <v>1527</v>
      </c>
      <c r="B109" s="497"/>
      <c r="C109" s="497" t="s">
        <v>1528</v>
      </c>
      <c r="D109" s="498">
        <v>195.97</v>
      </c>
      <c r="G109" s="498">
        <f t="shared" si="1"/>
        <v>1285.4789329</v>
      </c>
      <c r="H109" s="498">
        <f t="shared" si="1"/>
        <v>0</v>
      </c>
      <c r="I109" s="612">
        <v>195.97</v>
      </c>
    </row>
    <row r="110" spans="1:10">
      <c r="A110" s="497" t="s">
        <v>1529</v>
      </c>
      <c r="B110" s="497"/>
      <c r="C110" s="497" t="s">
        <v>890</v>
      </c>
      <c r="G110" s="498">
        <f t="shared" si="1"/>
        <v>0</v>
      </c>
      <c r="H110" s="498">
        <f t="shared" si="1"/>
        <v>0</v>
      </c>
    </row>
    <row r="111" spans="1:10">
      <c r="A111" s="497" t="s">
        <v>891</v>
      </c>
      <c r="B111" s="497"/>
      <c r="C111" s="497" t="s">
        <v>736</v>
      </c>
      <c r="G111" s="498">
        <f t="shared" si="1"/>
        <v>0</v>
      </c>
      <c r="H111" s="498">
        <f t="shared" si="1"/>
        <v>0</v>
      </c>
    </row>
    <row r="112" spans="1:10">
      <c r="A112" s="500" t="s">
        <v>737</v>
      </c>
      <c r="B112" s="500"/>
      <c r="C112" s="500" t="s">
        <v>887</v>
      </c>
      <c r="D112" s="501">
        <v>135307.35999999999</v>
      </c>
      <c r="E112" s="501">
        <v>4262.8999999999996</v>
      </c>
      <c r="F112" s="502"/>
      <c r="G112" s="501">
        <f t="shared" si="1"/>
        <v>887558.09943519987</v>
      </c>
      <c r="H112" s="501">
        <f t="shared" si="1"/>
        <v>27962.790952999996</v>
      </c>
      <c r="I112" s="612">
        <v>164353.82999999999</v>
      </c>
      <c r="J112" s="612">
        <v>4262.91</v>
      </c>
    </row>
    <row r="113" spans="1:9">
      <c r="A113" s="497" t="s">
        <v>888</v>
      </c>
      <c r="B113" s="497"/>
      <c r="C113" s="497" t="s">
        <v>1054</v>
      </c>
      <c r="D113" s="498">
        <v>16940.75</v>
      </c>
      <c r="G113" s="498">
        <f t="shared" si="1"/>
        <v>111124.0354775</v>
      </c>
      <c r="H113" s="498">
        <f t="shared" si="1"/>
        <v>0</v>
      </c>
      <c r="I113" s="612">
        <v>820.03</v>
      </c>
    </row>
    <row r="114" spans="1:9">
      <c r="A114" s="497" t="s">
        <v>1055</v>
      </c>
      <c r="B114" s="497"/>
      <c r="C114" s="497" t="s">
        <v>1058</v>
      </c>
      <c r="D114" s="498">
        <v>7155.53</v>
      </c>
      <c r="G114" s="498">
        <f t="shared" si="1"/>
        <v>46937.199922100001</v>
      </c>
      <c r="H114" s="498">
        <f t="shared" si="1"/>
        <v>0</v>
      </c>
      <c r="I114" s="612">
        <v>908.94</v>
      </c>
    </row>
    <row r="115" spans="1:9">
      <c r="A115" s="497" t="s">
        <v>1059</v>
      </c>
      <c r="B115" s="497"/>
      <c r="C115" s="497" t="s">
        <v>1211</v>
      </c>
      <c r="D115" s="498">
        <v>3625.05</v>
      </c>
      <c r="G115" s="498">
        <f t="shared" si="1"/>
        <v>23778.769228500001</v>
      </c>
      <c r="H115" s="498">
        <f t="shared" si="1"/>
        <v>0</v>
      </c>
      <c r="I115" s="612">
        <v>1428.05</v>
      </c>
    </row>
    <row r="116" spans="1:9">
      <c r="A116" s="497" t="s">
        <v>1203</v>
      </c>
      <c r="B116" s="497"/>
      <c r="C116" s="497" t="s">
        <v>1204</v>
      </c>
      <c r="D116" s="498">
        <v>16188.34</v>
      </c>
      <c r="G116" s="498">
        <f t="shared" si="1"/>
        <v>106188.54941379999</v>
      </c>
      <c r="H116" s="498">
        <f t="shared" si="1"/>
        <v>0</v>
      </c>
      <c r="I116" s="612">
        <v>2369.2600000000002</v>
      </c>
    </row>
    <row r="117" spans="1:9">
      <c r="A117" s="497" t="s">
        <v>1056</v>
      </c>
      <c r="B117" s="497"/>
      <c r="C117" s="497" t="s">
        <v>780</v>
      </c>
      <c r="D117" s="498">
        <v>708.1</v>
      </c>
      <c r="G117" s="498">
        <f t="shared" si="1"/>
        <v>4644.8315170000005</v>
      </c>
      <c r="H117" s="498">
        <f t="shared" si="1"/>
        <v>0</v>
      </c>
      <c r="I117" s="612">
        <v>292.77</v>
      </c>
    </row>
    <row r="118" spans="1:9">
      <c r="A118" s="497" t="s">
        <v>781</v>
      </c>
      <c r="B118" s="497"/>
      <c r="C118" s="497" t="s">
        <v>623</v>
      </c>
      <c r="D118" s="498">
        <v>1158.92</v>
      </c>
      <c r="G118" s="498">
        <f t="shared" si="1"/>
        <v>7602.0168644000005</v>
      </c>
      <c r="H118" s="498">
        <f t="shared" si="1"/>
        <v>0</v>
      </c>
      <c r="I118" s="612">
        <v>92.04</v>
      </c>
    </row>
    <row r="119" spans="1:9">
      <c r="A119" s="497" t="s">
        <v>782</v>
      </c>
      <c r="B119" s="497"/>
      <c r="C119" s="497" t="s">
        <v>741</v>
      </c>
      <c r="D119" s="498">
        <v>7207.59</v>
      </c>
      <c r="G119" s="498">
        <f t="shared" si="1"/>
        <v>47278.691136300004</v>
      </c>
      <c r="H119" s="498">
        <f t="shared" si="1"/>
        <v>0</v>
      </c>
      <c r="I119" s="612">
        <v>2720.37</v>
      </c>
    </row>
    <row r="120" spans="1:9">
      <c r="A120" s="497" t="s">
        <v>742</v>
      </c>
      <c r="B120" s="497"/>
      <c r="C120" s="497" t="s">
        <v>830</v>
      </c>
      <c r="D120" s="498">
        <v>552.29999999999995</v>
      </c>
      <c r="G120" s="498">
        <f t="shared" si="1"/>
        <v>3622.8505109999996</v>
      </c>
      <c r="H120" s="498">
        <f t="shared" si="1"/>
        <v>0</v>
      </c>
      <c r="I120" s="612">
        <v>30.6</v>
      </c>
    </row>
    <row r="121" spans="1:9">
      <c r="A121" s="497" t="s">
        <v>1278</v>
      </c>
      <c r="B121" s="497"/>
      <c r="C121" s="497" t="s">
        <v>1324</v>
      </c>
      <c r="D121" s="498">
        <v>2003.32</v>
      </c>
      <c r="G121" s="498">
        <f t="shared" si="1"/>
        <v>13140.9177724</v>
      </c>
      <c r="H121" s="498">
        <f t="shared" si="1"/>
        <v>0</v>
      </c>
      <c r="I121" s="612">
        <v>28197.919999999998</v>
      </c>
    </row>
    <row r="122" spans="1:9">
      <c r="A122" s="497" t="s">
        <v>1325</v>
      </c>
      <c r="B122" s="497"/>
      <c r="C122" s="497" t="s">
        <v>1326</v>
      </c>
      <c r="D122" s="498">
        <v>1499.84</v>
      </c>
      <c r="G122" s="498">
        <f t="shared" si="1"/>
        <v>9838.3054687999993</v>
      </c>
      <c r="H122" s="498">
        <f t="shared" si="1"/>
        <v>0</v>
      </c>
      <c r="I122" s="612">
        <v>36859.980000000003</v>
      </c>
    </row>
    <row r="123" spans="1:9">
      <c r="A123" s="497" t="s">
        <v>1332</v>
      </c>
      <c r="B123" s="497"/>
      <c r="C123" s="497" t="s">
        <v>665</v>
      </c>
      <c r="D123" s="498">
        <v>26532.17</v>
      </c>
      <c r="G123" s="498">
        <f t="shared" si="1"/>
        <v>174039.62636689999</v>
      </c>
      <c r="H123" s="498">
        <f t="shared" si="1"/>
        <v>0</v>
      </c>
      <c r="I123" s="612">
        <v>1343.99</v>
      </c>
    </row>
    <row r="124" spans="1:9">
      <c r="A124" s="497" t="s">
        <v>666</v>
      </c>
      <c r="B124" s="497"/>
      <c r="C124" s="497" t="s">
        <v>255</v>
      </c>
      <c r="D124" s="498">
        <v>7335.09</v>
      </c>
      <c r="G124" s="498">
        <f t="shared" si="1"/>
        <v>48115.036311299998</v>
      </c>
      <c r="H124" s="498">
        <f t="shared" si="1"/>
        <v>0</v>
      </c>
      <c r="I124" s="612">
        <v>1531.5</v>
      </c>
    </row>
    <row r="125" spans="1:9">
      <c r="A125" s="497" t="s">
        <v>256</v>
      </c>
      <c r="B125" s="497"/>
      <c r="C125" s="497" t="s">
        <v>257</v>
      </c>
      <c r="D125" s="498">
        <v>2463.36</v>
      </c>
      <c r="G125" s="498">
        <f t="shared" si="1"/>
        <v>16158.5823552</v>
      </c>
      <c r="H125" s="498">
        <f t="shared" si="1"/>
        <v>0</v>
      </c>
      <c r="I125" s="612">
        <v>1533.82</v>
      </c>
    </row>
    <row r="126" spans="1:9">
      <c r="A126" s="497" t="s">
        <v>258</v>
      </c>
      <c r="B126" s="497"/>
      <c r="C126" s="497" t="s">
        <v>259</v>
      </c>
      <c r="D126" s="498">
        <v>19625.84</v>
      </c>
      <c r="G126" s="498">
        <f t="shared" si="1"/>
        <v>128737.0712888</v>
      </c>
      <c r="H126" s="498">
        <f t="shared" si="1"/>
        <v>0</v>
      </c>
      <c r="I126" s="612">
        <v>835.43</v>
      </c>
    </row>
    <row r="127" spans="1:9">
      <c r="A127" s="497" t="s">
        <v>260</v>
      </c>
      <c r="B127" s="497"/>
      <c r="C127" s="497" t="s">
        <v>261</v>
      </c>
      <c r="D127" s="498">
        <v>198713.8</v>
      </c>
      <c r="G127" s="498">
        <f t="shared" si="1"/>
        <v>1303477.0810659998</v>
      </c>
      <c r="H127" s="498">
        <f t="shared" si="1"/>
        <v>0</v>
      </c>
      <c r="I127" s="612">
        <v>1449.52</v>
      </c>
    </row>
    <row r="128" spans="1:9">
      <c r="A128" s="497" t="s">
        <v>123</v>
      </c>
      <c r="B128" s="497"/>
      <c r="C128" s="497" t="s">
        <v>124</v>
      </c>
      <c r="D128" s="498">
        <v>75.7</v>
      </c>
      <c r="G128" s="498">
        <f t="shared" si="1"/>
        <v>496.55944900000003</v>
      </c>
      <c r="H128" s="498">
        <f t="shared" si="1"/>
        <v>0</v>
      </c>
      <c r="I128" s="612">
        <v>228.67</v>
      </c>
    </row>
    <row r="129" spans="1:9">
      <c r="A129" s="497" t="s">
        <v>125</v>
      </c>
      <c r="B129" s="497"/>
      <c r="C129" s="497" t="s">
        <v>126</v>
      </c>
      <c r="D129" s="498">
        <v>311785.7</v>
      </c>
      <c r="G129" s="498">
        <f t="shared" si="1"/>
        <v>2045180.124149</v>
      </c>
      <c r="H129" s="498">
        <f t="shared" si="1"/>
        <v>0</v>
      </c>
      <c r="I129" s="612">
        <v>166.17</v>
      </c>
    </row>
    <row r="130" spans="1:9">
      <c r="A130" s="497" t="s">
        <v>127</v>
      </c>
      <c r="B130" s="497"/>
      <c r="C130" s="497" t="s">
        <v>1027</v>
      </c>
      <c r="D130" s="498">
        <v>5304.77</v>
      </c>
      <c r="G130" s="498">
        <f t="shared" si="1"/>
        <v>34797.010148900001</v>
      </c>
      <c r="H130" s="498">
        <f t="shared" si="1"/>
        <v>0</v>
      </c>
      <c r="I130" s="612">
        <v>377.92</v>
      </c>
    </row>
    <row r="131" spans="1:9">
      <c r="A131" s="497" t="s">
        <v>508</v>
      </c>
      <c r="B131" s="497"/>
      <c r="C131" s="497" t="s">
        <v>348</v>
      </c>
      <c r="D131" s="498">
        <v>669.8</v>
      </c>
      <c r="G131" s="498">
        <f t="shared" si="1"/>
        <v>4393.5999859999993</v>
      </c>
      <c r="H131" s="498">
        <f t="shared" si="1"/>
        <v>0</v>
      </c>
      <c r="I131" s="612">
        <v>7467.02</v>
      </c>
    </row>
    <row r="132" spans="1:9">
      <c r="A132" s="497" t="s">
        <v>153</v>
      </c>
      <c r="B132" s="497"/>
      <c r="C132" s="497" t="s">
        <v>134</v>
      </c>
      <c r="D132" s="498">
        <v>14783.89</v>
      </c>
      <c r="G132" s="498">
        <f t="shared" ref="G132:H195" si="2">+D132*6.55957</f>
        <v>96975.9613273</v>
      </c>
      <c r="H132" s="498">
        <f t="shared" si="2"/>
        <v>0</v>
      </c>
    </row>
    <row r="133" spans="1:9">
      <c r="A133" s="497" t="s">
        <v>135</v>
      </c>
      <c r="B133" s="497"/>
      <c r="C133" s="497" t="s">
        <v>329</v>
      </c>
      <c r="D133" s="498">
        <v>16831.939999999999</v>
      </c>
      <c r="G133" s="498">
        <f t="shared" si="2"/>
        <v>110410.28866579999</v>
      </c>
      <c r="H133" s="498">
        <f t="shared" si="2"/>
        <v>0</v>
      </c>
      <c r="I133" s="612">
        <v>36.090000000000003</v>
      </c>
    </row>
    <row r="134" spans="1:9">
      <c r="A134" s="497" t="s">
        <v>330</v>
      </c>
      <c r="B134" s="497"/>
      <c r="C134" s="497" t="s">
        <v>345</v>
      </c>
      <c r="D134" s="498">
        <v>9355.1200000000008</v>
      </c>
      <c r="G134" s="498">
        <f t="shared" si="2"/>
        <v>61365.564498400003</v>
      </c>
      <c r="H134" s="498">
        <f t="shared" si="2"/>
        <v>0</v>
      </c>
      <c r="I134" s="612">
        <v>1118.8599999999999</v>
      </c>
    </row>
    <row r="135" spans="1:9">
      <c r="A135" s="497" t="s">
        <v>346</v>
      </c>
      <c r="B135" s="497"/>
      <c r="C135" s="497" t="s">
        <v>1287</v>
      </c>
      <c r="D135" s="498">
        <v>10338.719999999999</v>
      </c>
      <c r="G135" s="498">
        <f t="shared" si="2"/>
        <v>67817.557550400001</v>
      </c>
      <c r="H135" s="498">
        <f t="shared" si="2"/>
        <v>0</v>
      </c>
      <c r="I135" s="612">
        <v>1253</v>
      </c>
    </row>
    <row r="136" spans="1:9">
      <c r="A136" s="497" t="s">
        <v>1284</v>
      </c>
      <c r="B136" s="497"/>
      <c r="C136" s="497" t="s">
        <v>1294</v>
      </c>
      <c r="D136" s="498">
        <v>4932.7</v>
      </c>
      <c r="G136" s="498">
        <f t="shared" si="2"/>
        <v>32356.390938999997</v>
      </c>
      <c r="H136" s="498">
        <f t="shared" si="2"/>
        <v>0</v>
      </c>
      <c r="I136" s="612">
        <v>839.62</v>
      </c>
    </row>
    <row r="137" spans="1:9">
      <c r="A137" s="497" t="s">
        <v>1295</v>
      </c>
      <c r="B137" s="497"/>
      <c r="C137" s="497" t="s">
        <v>1296</v>
      </c>
      <c r="D137" s="498">
        <v>302.32</v>
      </c>
      <c r="G137" s="498">
        <f t="shared" si="2"/>
        <v>1983.0892024</v>
      </c>
      <c r="H137" s="498">
        <f t="shared" si="2"/>
        <v>0</v>
      </c>
      <c r="I137" s="612">
        <v>1243.69</v>
      </c>
    </row>
    <row r="138" spans="1:9">
      <c r="A138" s="497" t="s">
        <v>1297</v>
      </c>
      <c r="B138" s="497"/>
      <c r="C138" s="497" t="s">
        <v>1298</v>
      </c>
      <c r="D138" s="498">
        <v>4899.76</v>
      </c>
      <c r="G138" s="498">
        <f t="shared" si="2"/>
        <v>32140.318703200002</v>
      </c>
      <c r="H138" s="498">
        <f t="shared" si="2"/>
        <v>0</v>
      </c>
      <c r="I138" s="612">
        <v>1043.8499999999999</v>
      </c>
    </row>
    <row r="139" spans="1:9">
      <c r="A139" s="497" t="s">
        <v>1299</v>
      </c>
      <c r="B139" s="497"/>
      <c r="C139" s="497" t="s">
        <v>1300</v>
      </c>
      <c r="D139" s="498">
        <v>2286.7199999999998</v>
      </c>
      <c r="G139" s="498">
        <f t="shared" si="2"/>
        <v>14999.899910399998</v>
      </c>
      <c r="H139" s="498">
        <f t="shared" si="2"/>
        <v>0</v>
      </c>
      <c r="I139" s="612">
        <v>200</v>
      </c>
    </row>
    <row r="140" spans="1:9">
      <c r="A140" s="497" t="s">
        <v>1301</v>
      </c>
      <c r="B140" s="497"/>
      <c r="C140" s="497" t="s">
        <v>1558</v>
      </c>
      <c r="D140" s="498">
        <v>1232.55</v>
      </c>
      <c r="G140" s="498">
        <f t="shared" si="2"/>
        <v>8084.9980034999999</v>
      </c>
      <c r="H140" s="498">
        <f t="shared" si="2"/>
        <v>0</v>
      </c>
      <c r="I140" s="612">
        <v>270.32</v>
      </c>
    </row>
    <row r="141" spans="1:9">
      <c r="A141" s="497" t="s">
        <v>1518</v>
      </c>
      <c r="B141" s="497"/>
      <c r="C141" s="497" t="s">
        <v>1519</v>
      </c>
      <c r="D141" s="498">
        <v>106.41</v>
      </c>
      <c r="G141" s="498">
        <f t="shared" si="2"/>
        <v>698.00384369999995</v>
      </c>
      <c r="H141" s="498">
        <f t="shared" si="2"/>
        <v>0</v>
      </c>
      <c r="I141" s="612">
        <v>495.46</v>
      </c>
    </row>
    <row r="142" spans="1:9">
      <c r="A142" s="497" t="s">
        <v>1174</v>
      </c>
      <c r="B142" s="497"/>
      <c r="C142" s="497" t="s">
        <v>679</v>
      </c>
      <c r="D142" s="498">
        <v>4544.9799999999996</v>
      </c>
      <c r="G142" s="498">
        <f t="shared" si="2"/>
        <v>29813.114458599997</v>
      </c>
      <c r="H142" s="498">
        <f t="shared" si="2"/>
        <v>0</v>
      </c>
      <c r="I142" s="612">
        <v>622.9</v>
      </c>
    </row>
    <row r="143" spans="1:9">
      <c r="A143" s="497" t="s">
        <v>1026</v>
      </c>
      <c r="B143" s="497"/>
      <c r="C143" s="497" t="s">
        <v>615</v>
      </c>
      <c r="D143" s="498">
        <v>9802.4</v>
      </c>
      <c r="G143" s="498">
        <f t="shared" si="2"/>
        <v>64299.528967999999</v>
      </c>
      <c r="H143" s="498">
        <f t="shared" si="2"/>
        <v>0</v>
      </c>
      <c r="I143" s="612">
        <v>18.96</v>
      </c>
    </row>
    <row r="144" spans="1:9">
      <c r="A144" s="497" t="s">
        <v>610</v>
      </c>
      <c r="B144" s="497"/>
      <c r="C144" s="497" t="s">
        <v>1209</v>
      </c>
      <c r="E144" s="498">
        <v>1177.52</v>
      </c>
      <c r="G144" s="498">
        <f t="shared" si="2"/>
        <v>0</v>
      </c>
      <c r="H144" s="498">
        <f t="shared" si="2"/>
        <v>7724.0248664000001</v>
      </c>
      <c r="I144" s="612">
        <v>702.35</v>
      </c>
    </row>
    <row r="145" spans="1:9">
      <c r="A145" s="497" t="s">
        <v>1210</v>
      </c>
      <c r="B145" s="497"/>
      <c r="C145" s="497" t="s">
        <v>1447</v>
      </c>
      <c r="D145" s="498">
        <v>411.64</v>
      </c>
      <c r="G145" s="498">
        <f t="shared" si="2"/>
        <v>2700.1813947999999</v>
      </c>
      <c r="H145" s="498">
        <f t="shared" si="2"/>
        <v>0</v>
      </c>
      <c r="I145" s="612">
        <v>7845.1</v>
      </c>
    </row>
    <row r="146" spans="1:9">
      <c r="A146" s="497" t="s">
        <v>1375</v>
      </c>
      <c r="B146" s="497"/>
      <c r="C146" s="497" t="s">
        <v>315</v>
      </c>
      <c r="D146" s="498">
        <v>9009.74</v>
      </c>
      <c r="G146" s="498">
        <f t="shared" si="2"/>
        <v>59100.020211799994</v>
      </c>
      <c r="H146" s="498">
        <f t="shared" si="2"/>
        <v>0</v>
      </c>
      <c r="I146" s="612">
        <v>121.02</v>
      </c>
    </row>
    <row r="147" spans="1:9">
      <c r="A147" s="497" t="s">
        <v>316</v>
      </c>
      <c r="B147" s="497"/>
      <c r="C147" s="497" t="s">
        <v>43</v>
      </c>
      <c r="D147" s="498">
        <v>94813.46</v>
      </c>
      <c r="E147" s="498">
        <v>1177.52</v>
      </c>
      <c r="G147" s="498">
        <f t="shared" si="2"/>
        <v>621935.52781220002</v>
      </c>
      <c r="H147" s="498">
        <f t="shared" si="2"/>
        <v>7724.0248664000001</v>
      </c>
      <c r="I147" s="612">
        <v>1200</v>
      </c>
    </row>
    <row r="148" spans="1:9">
      <c r="A148" s="497" t="s">
        <v>44</v>
      </c>
      <c r="B148" s="497"/>
      <c r="C148" s="497" t="s">
        <v>433</v>
      </c>
      <c r="D148" s="498">
        <v>2863.82</v>
      </c>
      <c r="G148" s="498">
        <f t="shared" si="2"/>
        <v>18785.427757400001</v>
      </c>
      <c r="H148" s="498">
        <f t="shared" si="2"/>
        <v>0</v>
      </c>
      <c r="I148" s="612">
        <v>6.06</v>
      </c>
    </row>
    <row r="149" spans="1:9">
      <c r="A149" s="497" t="s">
        <v>434</v>
      </c>
      <c r="B149" s="497"/>
      <c r="C149" s="497" t="s">
        <v>248</v>
      </c>
      <c r="D149" s="498">
        <v>241.24</v>
      </c>
      <c r="G149" s="498">
        <f t="shared" si="2"/>
        <v>1582.4306667999999</v>
      </c>
      <c r="H149" s="498">
        <f t="shared" si="2"/>
        <v>0</v>
      </c>
      <c r="I149" s="612">
        <v>1327.08</v>
      </c>
    </row>
    <row r="150" spans="1:9">
      <c r="A150" s="497" t="s">
        <v>611</v>
      </c>
      <c r="B150" s="497"/>
      <c r="C150" s="497" t="s">
        <v>612</v>
      </c>
      <c r="D150" s="498">
        <v>405.38</v>
      </c>
      <c r="G150" s="498">
        <f t="shared" si="2"/>
        <v>2659.1184865999999</v>
      </c>
      <c r="H150" s="498">
        <f t="shared" si="2"/>
        <v>0</v>
      </c>
      <c r="I150" s="612">
        <v>18619.18</v>
      </c>
    </row>
    <row r="151" spans="1:9">
      <c r="A151" s="497" t="s">
        <v>443</v>
      </c>
      <c r="B151" s="497"/>
      <c r="C151" s="497" t="s">
        <v>457</v>
      </c>
      <c r="D151" s="498">
        <v>2361.44</v>
      </c>
      <c r="G151" s="498">
        <f t="shared" si="2"/>
        <v>15490.0309808</v>
      </c>
      <c r="H151" s="498">
        <f t="shared" si="2"/>
        <v>0</v>
      </c>
      <c r="I151" s="612">
        <v>131.69999999999999</v>
      </c>
    </row>
    <row r="152" spans="1:9">
      <c r="A152" s="497" t="s">
        <v>458</v>
      </c>
      <c r="B152" s="497"/>
      <c r="C152" s="497" t="s">
        <v>459</v>
      </c>
      <c r="D152" s="498">
        <v>4360.8</v>
      </c>
      <c r="G152" s="498">
        <f t="shared" si="2"/>
        <v>28604.972856</v>
      </c>
      <c r="H152" s="498">
        <f t="shared" si="2"/>
        <v>0</v>
      </c>
      <c r="I152" s="612">
        <v>18750.88</v>
      </c>
    </row>
    <row r="153" spans="1:9">
      <c r="A153" s="497" t="s">
        <v>1188</v>
      </c>
      <c r="B153" s="497"/>
      <c r="C153" s="497" t="s">
        <v>1189</v>
      </c>
      <c r="D153" s="498">
        <v>8605.09</v>
      </c>
      <c r="G153" s="498">
        <f t="shared" si="2"/>
        <v>56445.690211300003</v>
      </c>
      <c r="H153" s="498">
        <f t="shared" si="2"/>
        <v>0</v>
      </c>
      <c r="I153" s="612">
        <v>5203.1099999999997</v>
      </c>
    </row>
    <row r="154" spans="1:9">
      <c r="A154" s="497" t="s">
        <v>1190</v>
      </c>
      <c r="B154" s="497"/>
      <c r="C154" s="497" t="s">
        <v>1191</v>
      </c>
      <c r="D154" s="498">
        <v>80.599999999999994</v>
      </c>
      <c r="G154" s="498">
        <f t="shared" si="2"/>
        <v>528.70134199999995</v>
      </c>
      <c r="H154" s="498">
        <f t="shared" si="2"/>
        <v>0</v>
      </c>
      <c r="I154" s="612">
        <v>164.96</v>
      </c>
    </row>
    <row r="155" spans="1:9">
      <c r="A155" s="497" t="s">
        <v>1192</v>
      </c>
      <c r="B155" s="497"/>
      <c r="C155" s="497" t="s">
        <v>1193</v>
      </c>
      <c r="D155" s="498">
        <v>1317.33</v>
      </c>
      <c r="G155" s="498">
        <f t="shared" si="2"/>
        <v>8641.1183480999989</v>
      </c>
      <c r="H155" s="498">
        <f t="shared" si="2"/>
        <v>0</v>
      </c>
      <c r="I155" s="612">
        <v>195.84</v>
      </c>
    </row>
    <row r="156" spans="1:9">
      <c r="A156" s="497" t="s">
        <v>1194</v>
      </c>
      <c r="B156" s="497"/>
      <c r="C156" s="497" t="s">
        <v>1233</v>
      </c>
      <c r="D156" s="498">
        <v>2149.33</v>
      </c>
      <c r="G156" s="498">
        <f t="shared" si="2"/>
        <v>14098.6805881</v>
      </c>
      <c r="H156" s="498">
        <f t="shared" si="2"/>
        <v>0</v>
      </c>
      <c r="I156" s="612">
        <v>924.24</v>
      </c>
    </row>
    <row r="157" spans="1:9">
      <c r="A157" s="497" t="s">
        <v>1234</v>
      </c>
      <c r="B157" s="497"/>
      <c r="C157" s="497" t="s">
        <v>1235</v>
      </c>
      <c r="D157" s="498">
        <v>2427.14</v>
      </c>
      <c r="G157" s="498">
        <f t="shared" si="2"/>
        <v>15920.994729799999</v>
      </c>
      <c r="H157" s="498">
        <f t="shared" si="2"/>
        <v>0</v>
      </c>
      <c r="I157" s="612">
        <v>701.75</v>
      </c>
    </row>
    <row r="158" spans="1:9">
      <c r="A158" s="497" t="s">
        <v>1236</v>
      </c>
      <c r="B158" s="497"/>
      <c r="C158" s="497" t="s">
        <v>1224</v>
      </c>
      <c r="D158" s="498">
        <v>30479.41</v>
      </c>
      <c r="G158" s="498">
        <f t="shared" si="2"/>
        <v>199931.8234537</v>
      </c>
      <c r="H158" s="498">
        <f t="shared" si="2"/>
        <v>0</v>
      </c>
      <c r="I158" s="612">
        <v>500.68</v>
      </c>
    </row>
    <row r="159" spans="1:9">
      <c r="A159" s="497" t="s">
        <v>1228</v>
      </c>
      <c r="B159" s="497"/>
      <c r="C159" s="497" t="s">
        <v>1229</v>
      </c>
      <c r="D159" s="498">
        <v>272.55</v>
      </c>
      <c r="G159" s="498">
        <f t="shared" si="2"/>
        <v>1787.8108035</v>
      </c>
      <c r="H159" s="498">
        <f t="shared" si="2"/>
        <v>0</v>
      </c>
      <c r="I159" s="612">
        <v>7690.58</v>
      </c>
    </row>
    <row r="160" spans="1:9">
      <c r="A160" s="497" t="s">
        <v>1230</v>
      </c>
      <c r="B160" s="497"/>
      <c r="C160" s="497" t="s">
        <v>896</v>
      </c>
      <c r="D160" s="498">
        <v>407.74</v>
      </c>
      <c r="G160" s="498">
        <f t="shared" si="2"/>
        <v>2674.5990717999998</v>
      </c>
      <c r="H160" s="498">
        <f t="shared" si="2"/>
        <v>0</v>
      </c>
      <c r="I160" s="612">
        <v>478.8</v>
      </c>
    </row>
    <row r="161" spans="1:10">
      <c r="A161" s="497" t="s">
        <v>897</v>
      </c>
      <c r="B161" s="497"/>
      <c r="C161" s="497" t="s">
        <v>898</v>
      </c>
      <c r="D161" s="498">
        <v>3476.96</v>
      </c>
      <c r="G161" s="498">
        <f t="shared" si="2"/>
        <v>22807.3625072</v>
      </c>
      <c r="H161" s="498">
        <f t="shared" si="2"/>
        <v>0</v>
      </c>
      <c r="I161" s="612">
        <v>26920.26</v>
      </c>
    </row>
    <row r="162" spans="1:10">
      <c r="A162" s="497" t="s">
        <v>707</v>
      </c>
      <c r="B162" s="497"/>
      <c r="C162" s="497" t="s">
        <v>480</v>
      </c>
      <c r="D162" s="498">
        <v>204.4</v>
      </c>
      <c r="G162" s="498">
        <f t="shared" si="2"/>
        <v>1340.776108</v>
      </c>
      <c r="H162" s="498">
        <f t="shared" si="2"/>
        <v>0</v>
      </c>
      <c r="I162" s="612">
        <v>6.66</v>
      </c>
    </row>
    <row r="163" spans="1:10">
      <c r="A163" s="497" t="s">
        <v>279</v>
      </c>
      <c r="B163" s="497"/>
      <c r="C163" s="497" t="s">
        <v>280</v>
      </c>
      <c r="D163" s="498">
        <v>2581.02</v>
      </c>
      <c r="G163" s="498">
        <f t="shared" si="2"/>
        <v>16930.381361399999</v>
      </c>
      <c r="H163" s="498">
        <f t="shared" si="2"/>
        <v>0</v>
      </c>
      <c r="I163" s="612">
        <v>6.66</v>
      </c>
    </row>
    <row r="164" spans="1:10">
      <c r="A164" s="497" t="s">
        <v>371</v>
      </c>
      <c r="B164" s="497"/>
      <c r="C164" s="497" t="s">
        <v>372</v>
      </c>
      <c r="D164" s="498">
        <v>16674.29</v>
      </c>
      <c r="G164" s="498">
        <f t="shared" si="2"/>
        <v>109376.17245530001</v>
      </c>
      <c r="H164" s="498">
        <f t="shared" si="2"/>
        <v>0</v>
      </c>
      <c r="I164" s="612">
        <v>544.96</v>
      </c>
    </row>
    <row r="165" spans="1:10">
      <c r="A165" s="497" t="s">
        <v>547</v>
      </c>
      <c r="B165" s="497"/>
      <c r="C165" s="497" t="s">
        <v>105</v>
      </c>
      <c r="D165" s="498">
        <v>917.29</v>
      </c>
      <c r="G165" s="498">
        <f t="shared" si="2"/>
        <v>6017.0279652999998</v>
      </c>
      <c r="H165" s="498">
        <f t="shared" si="2"/>
        <v>0</v>
      </c>
      <c r="I165" s="612">
        <v>0.01</v>
      </c>
    </row>
    <row r="166" spans="1:10">
      <c r="A166" s="497" t="s">
        <v>269</v>
      </c>
      <c r="B166" s="497"/>
      <c r="C166" s="497" t="s">
        <v>34</v>
      </c>
      <c r="D166" s="498">
        <v>1589.32</v>
      </c>
      <c r="G166" s="498">
        <f t="shared" si="2"/>
        <v>10425.255792399999</v>
      </c>
      <c r="H166" s="498">
        <f t="shared" si="2"/>
        <v>0</v>
      </c>
      <c r="I166" s="612">
        <v>544.97</v>
      </c>
    </row>
    <row r="167" spans="1:10">
      <c r="A167" s="497" t="s">
        <v>91</v>
      </c>
      <c r="B167" s="497"/>
      <c r="C167" s="497" t="s">
        <v>281</v>
      </c>
      <c r="D167" s="498">
        <v>8795.09</v>
      </c>
      <c r="G167" s="498">
        <f t="shared" si="2"/>
        <v>57692.008511300002</v>
      </c>
      <c r="H167" s="498">
        <f t="shared" si="2"/>
        <v>0</v>
      </c>
      <c r="I167" s="612">
        <v>424.7</v>
      </c>
    </row>
    <row r="168" spans="1:10">
      <c r="A168" s="497" t="s">
        <v>282</v>
      </c>
      <c r="B168" s="497"/>
      <c r="C168" s="497" t="s">
        <v>283</v>
      </c>
      <c r="D168" s="498">
        <v>976.35</v>
      </c>
      <c r="G168" s="498">
        <f t="shared" si="2"/>
        <v>6404.4361694999998</v>
      </c>
      <c r="H168" s="498">
        <f t="shared" si="2"/>
        <v>0</v>
      </c>
      <c r="I168" s="612">
        <v>424.7</v>
      </c>
    </row>
    <row r="169" spans="1:10">
      <c r="A169" s="497" t="s">
        <v>284</v>
      </c>
      <c r="B169" s="497"/>
      <c r="C169" s="497" t="s">
        <v>285</v>
      </c>
      <c r="D169" s="498">
        <v>67.38</v>
      </c>
      <c r="G169" s="498">
        <f t="shared" si="2"/>
        <v>441.98382659999999</v>
      </c>
      <c r="H169" s="498">
        <f t="shared" si="2"/>
        <v>0</v>
      </c>
      <c r="I169" s="612">
        <v>5500</v>
      </c>
    </row>
    <row r="170" spans="1:10">
      <c r="A170" s="497" t="s">
        <v>286</v>
      </c>
      <c r="B170" s="497"/>
      <c r="C170" s="497" t="s">
        <v>212</v>
      </c>
      <c r="D170" s="498">
        <v>1551.57</v>
      </c>
      <c r="G170" s="498">
        <f t="shared" si="2"/>
        <v>10177.6320249</v>
      </c>
      <c r="H170" s="498">
        <f t="shared" si="2"/>
        <v>0</v>
      </c>
      <c r="I170" s="612">
        <v>5500</v>
      </c>
    </row>
    <row r="171" spans="1:10">
      <c r="A171" s="497" t="s">
        <v>213</v>
      </c>
      <c r="B171" s="497"/>
      <c r="C171" s="497" t="s">
        <v>214</v>
      </c>
      <c r="D171" s="498">
        <v>1646.01</v>
      </c>
      <c r="G171" s="498">
        <f t="shared" si="2"/>
        <v>10797.117815699999</v>
      </c>
      <c r="H171" s="498">
        <f t="shared" si="2"/>
        <v>0</v>
      </c>
      <c r="I171" s="612">
        <v>5500</v>
      </c>
    </row>
    <row r="172" spans="1:10">
      <c r="A172" s="497" t="s">
        <v>215</v>
      </c>
      <c r="B172" s="497"/>
      <c r="C172" s="497" t="s">
        <v>197</v>
      </c>
      <c r="D172" s="498">
        <v>5726.99</v>
      </c>
      <c r="G172" s="498">
        <f t="shared" si="2"/>
        <v>37566.591794299995</v>
      </c>
      <c r="H172" s="498">
        <f t="shared" si="2"/>
        <v>0</v>
      </c>
      <c r="I172" s="612">
        <v>86895.77</v>
      </c>
    </row>
    <row r="173" spans="1:10">
      <c r="A173" s="497" t="s">
        <v>198</v>
      </c>
      <c r="B173" s="497"/>
      <c r="C173" s="497" t="s">
        <v>92</v>
      </c>
      <c r="D173" s="498">
        <v>3809.94</v>
      </c>
      <c r="G173" s="498">
        <f t="shared" si="2"/>
        <v>24991.5681258</v>
      </c>
      <c r="H173" s="498">
        <f t="shared" si="2"/>
        <v>0</v>
      </c>
      <c r="J173" s="612">
        <v>651.75</v>
      </c>
    </row>
    <row r="174" spans="1:10">
      <c r="A174" s="497" t="s">
        <v>206</v>
      </c>
      <c r="B174" s="497"/>
      <c r="C174" s="497" t="s">
        <v>207</v>
      </c>
      <c r="D174" s="498">
        <v>228.67</v>
      </c>
      <c r="G174" s="498">
        <f t="shared" si="2"/>
        <v>1499.9768718999999</v>
      </c>
      <c r="H174" s="498">
        <f t="shared" si="2"/>
        <v>0</v>
      </c>
      <c r="J174" s="612">
        <v>1905</v>
      </c>
    </row>
    <row r="175" spans="1:10">
      <c r="A175" s="497" t="s">
        <v>208</v>
      </c>
      <c r="B175" s="497"/>
      <c r="C175" s="497" t="s">
        <v>612</v>
      </c>
      <c r="D175" s="498">
        <v>254.93</v>
      </c>
      <c r="G175" s="498">
        <f t="shared" si="2"/>
        <v>1672.2311801000001</v>
      </c>
      <c r="H175" s="498">
        <f t="shared" si="2"/>
        <v>0</v>
      </c>
      <c r="J175" s="612">
        <v>55</v>
      </c>
    </row>
    <row r="176" spans="1:10">
      <c r="A176" s="497" t="s">
        <v>209</v>
      </c>
      <c r="B176" s="497"/>
      <c r="C176" s="497" t="s">
        <v>210</v>
      </c>
      <c r="D176" s="498">
        <v>460</v>
      </c>
      <c r="G176" s="498">
        <f t="shared" si="2"/>
        <v>3017.4022</v>
      </c>
      <c r="H176" s="498">
        <f t="shared" si="2"/>
        <v>0</v>
      </c>
      <c r="J176" s="612">
        <v>1335</v>
      </c>
    </row>
    <row r="177" spans="1:10">
      <c r="A177" s="497" t="s">
        <v>211</v>
      </c>
      <c r="B177" s="497"/>
      <c r="C177" s="497" t="s">
        <v>42</v>
      </c>
      <c r="D177" s="498">
        <v>104932.08</v>
      </c>
      <c r="G177" s="498">
        <f t="shared" si="2"/>
        <v>688309.32400559995</v>
      </c>
      <c r="H177" s="498">
        <f t="shared" si="2"/>
        <v>0</v>
      </c>
      <c r="J177" s="612">
        <v>23170.95</v>
      </c>
    </row>
    <row r="178" spans="1:10">
      <c r="A178" s="497" t="s">
        <v>467</v>
      </c>
      <c r="B178" s="497"/>
      <c r="C178" s="497" t="s">
        <v>527</v>
      </c>
      <c r="D178" s="498">
        <v>12005.35</v>
      </c>
      <c r="G178" s="498">
        <f t="shared" si="2"/>
        <v>78749.933699500005</v>
      </c>
      <c r="H178" s="498">
        <f t="shared" si="2"/>
        <v>0</v>
      </c>
      <c r="J178" s="612">
        <v>8464.93</v>
      </c>
    </row>
    <row r="179" spans="1:10">
      <c r="A179" s="497" t="s">
        <v>528</v>
      </c>
      <c r="B179" s="497"/>
      <c r="C179" s="497" t="s">
        <v>529</v>
      </c>
      <c r="D179" s="498">
        <v>643.09</v>
      </c>
      <c r="G179" s="498">
        <f t="shared" si="2"/>
        <v>4218.3938712999998</v>
      </c>
      <c r="H179" s="498">
        <f t="shared" si="2"/>
        <v>0</v>
      </c>
      <c r="J179" s="612">
        <v>2578.5500000000002</v>
      </c>
    </row>
    <row r="180" spans="1:10">
      <c r="A180" s="497" t="s">
        <v>363</v>
      </c>
      <c r="B180" s="497"/>
      <c r="C180" s="497" t="s">
        <v>364</v>
      </c>
      <c r="D180" s="498">
        <v>12648.44</v>
      </c>
      <c r="G180" s="498">
        <f t="shared" si="2"/>
        <v>82968.3275708</v>
      </c>
      <c r="H180" s="498">
        <f t="shared" si="2"/>
        <v>0</v>
      </c>
      <c r="J180" s="612">
        <v>312.64999999999998</v>
      </c>
    </row>
    <row r="181" spans="1:10">
      <c r="A181" s="497" t="s">
        <v>708</v>
      </c>
      <c r="B181" s="497"/>
      <c r="C181" s="497" t="s">
        <v>447</v>
      </c>
      <c r="D181" s="498">
        <v>196004.75</v>
      </c>
      <c r="G181" s="498">
        <f t="shared" si="2"/>
        <v>1285706.8779575001</v>
      </c>
      <c r="H181" s="498">
        <f t="shared" si="2"/>
        <v>0</v>
      </c>
      <c r="J181" s="612">
        <v>26309.53</v>
      </c>
    </row>
    <row r="182" spans="1:10">
      <c r="A182" s="497" t="s">
        <v>802</v>
      </c>
      <c r="B182" s="497"/>
      <c r="C182" s="497" t="s">
        <v>613</v>
      </c>
      <c r="E182" s="498">
        <v>7704.34</v>
      </c>
      <c r="G182" s="498">
        <f t="shared" si="2"/>
        <v>0</v>
      </c>
      <c r="H182" s="498">
        <f t="shared" si="2"/>
        <v>50537.157533799997</v>
      </c>
      <c r="J182" s="612">
        <v>411.02</v>
      </c>
    </row>
    <row r="183" spans="1:10">
      <c r="A183" s="497" t="s">
        <v>614</v>
      </c>
      <c r="B183" s="497"/>
      <c r="C183" s="497" t="s">
        <v>799</v>
      </c>
      <c r="D183" s="498">
        <v>6015.67</v>
      </c>
      <c r="G183" s="498">
        <f t="shared" si="2"/>
        <v>39460.208461900002</v>
      </c>
      <c r="H183" s="498">
        <f t="shared" si="2"/>
        <v>0</v>
      </c>
      <c r="J183" s="612">
        <v>101</v>
      </c>
    </row>
    <row r="184" spans="1:10">
      <c r="A184" s="497" t="s">
        <v>765</v>
      </c>
      <c r="B184" s="497"/>
      <c r="C184" s="497" t="s">
        <v>1386</v>
      </c>
      <c r="D184" s="498">
        <v>1794.63</v>
      </c>
      <c r="G184" s="498">
        <f t="shared" si="2"/>
        <v>11772.0011091</v>
      </c>
      <c r="H184" s="498">
        <f t="shared" si="2"/>
        <v>0</v>
      </c>
      <c r="J184" s="612">
        <v>105</v>
      </c>
    </row>
    <row r="185" spans="1:10">
      <c r="A185" s="497" t="s">
        <v>1387</v>
      </c>
      <c r="B185" s="497"/>
      <c r="C185" s="497" t="s">
        <v>1530</v>
      </c>
      <c r="D185" s="498">
        <v>203815.05</v>
      </c>
      <c r="E185" s="498">
        <v>7704.34</v>
      </c>
      <c r="G185" s="498">
        <f t="shared" si="2"/>
        <v>1336939.0875285</v>
      </c>
      <c r="H185" s="498">
        <f t="shared" si="2"/>
        <v>50537.157533799997</v>
      </c>
      <c r="J185" s="612">
        <v>70</v>
      </c>
    </row>
    <row r="186" spans="1:10">
      <c r="A186" s="497" t="s">
        <v>543</v>
      </c>
      <c r="B186" s="497"/>
      <c r="C186" s="497" t="s">
        <v>311</v>
      </c>
      <c r="D186" s="498">
        <v>54112.11</v>
      </c>
      <c r="G186" s="498">
        <f t="shared" si="2"/>
        <v>354952.17339269997</v>
      </c>
      <c r="H186" s="498">
        <f t="shared" si="2"/>
        <v>0</v>
      </c>
      <c r="J186" s="612">
        <v>1751.26</v>
      </c>
    </row>
    <row r="187" spans="1:10">
      <c r="A187" s="497" t="s">
        <v>312</v>
      </c>
      <c r="B187" s="497"/>
      <c r="C187" s="497" t="s">
        <v>663</v>
      </c>
      <c r="D187" s="498">
        <v>1076.8900000000001</v>
      </c>
      <c r="G187" s="498">
        <f t="shared" si="2"/>
        <v>7063.9353373000004</v>
      </c>
      <c r="H187" s="498">
        <f t="shared" si="2"/>
        <v>0</v>
      </c>
      <c r="J187" s="612">
        <v>67221.64</v>
      </c>
    </row>
    <row r="188" spans="1:10">
      <c r="A188" s="497" t="s">
        <v>544</v>
      </c>
      <c r="B188" s="497"/>
      <c r="C188" s="497" t="s">
        <v>545</v>
      </c>
      <c r="D188" s="498">
        <v>2154.73</v>
      </c>
      <c r="G188" s="498">
        <f t="shared" si="2"/>
        <v>14134.102266100001</v>
      </c>
      <c r="H188" s="498">
        <f t="shared" si="2"/>
        <v>0</v>
      </c>
      <c r="J188" s="612">
        <v>0.02</v>
      </c>
    </row>
    <row r="189" spans="1:10">
      <c r="A189" s="497" t="s">
        <v>546</v>
      </c>
      <c r="B189" s="497"/>
      <c r="C189" s="497" t="s">
        <v>831</v>
      </c>
      <c r="D189" s="498">
        <v>8847.26</v>
      </c>
      <c r="G189" s="498">
        <f t="shared" si="2"/>
        <v>58034.221278199999</v>
      </c>
      <c r="H189" s="498">
        <f t="shared" si="2"/>
        <v>0</v>
      </c>
      <c r="J189" s="612">
        <v>0.02</v>
      </c>
    </row>
    <row r="190" spans="1:10">
      <c r="A190" s="497" t="s">
        <v>832</v>
      </c>
      <c r="B190" s="497"/>
      <c r="C190" s="497" t="s">
        <v>833</v>
      </c>
      <c r="D190" s="498">
        <v>7375.79</v>
      </c>
      <c r="G190" s="498">
        <f t="shared" si="2"/>
        <v>48382.010810300002</v>
      </c>
      <c r="H190" s="498">
        <f t="shared" si="2"/>
        <v>0</v>
      </c>
      <c r="J190" s="612">
        <v>67221.66</v>
      </c>
    </row>
    <row r="191" spans="1:10">
      <c r="A191" s="497" t="s">
        <v>834</v>
      </c>
      <c r="B191" s="497"/>
      <c r="C191" s="497" t="s">
        <v>128</v>
      </c>
      <c r="E191" s="498">
        <v>3081.74</v>
      </c>
      <c r="G191" s="498">
        <f t="shared" si="2"/>
        <v>0</v>
      </c>
      <c r="H191" s="498">
        <f t="shared" si="2"/>
        <v>20214.889251799999</v>
      </c>
      <c r="J191" s="612">
        <v>208494.61</v>
      </c>
    </row>
    <row r="192" spans="1:10">
      <c r="A192" s="497" t="s">
        <v>129</v>
      </c>
      <c r="B192" s="497"/>
      <c r="C192" s="497" t="s">
        <v>130</v>
      </c>
      <c r="D192" s="498">
        <v>5916.86</v>
      </c>
      <c r="G192" s="498">
        <f t="shared" si="2"/>
        <v>38812.057350199997</v>
      </c>
      <c r="H192" s="498">
        <f t="shared" si="2"/>
        <v>0</v>
      </c>
    </row>
    <row r="193" spans="1:8">
      <c r="A193" s="497" t="s">
        <v>131</v>
      </c>
      <c r="B193" s="497"/>
      <c r="C193" s="497" t="s">
        <v>486</v>
      </c>
      <c r="D193" s="498">
        <v>79483.64</v>
      </c>
      <c r="E193" s="498">
        <v>3081.74</v>
      </c>
      <c r="G193" s="498">
        <f t="shared" si="2"/>
        <v>521378.50043479999</v>
      </c>
      <c r="H193" s="498">
        <f t="shared" si="2"/>
        <v>20214.889251799999</v>
      </c>
    </row>
    <row r="194" spans="1:8">
      <c r="A194" s="497" t="s">
        <v>339</v>
      </c>
      <c r="B194" s="497"/>
      <c r="C194" s="497" t="s">
        <v>1473</v>
      </c>
      <c r="D194" s="498">
        <v>484.48</v>
      </c>
      <c r="G194" s="498">
        <f t="shared" si="2"/>
        <v>3177.9804736000001</v>
      </c>
      <c r="H194" s="498">
        <f t="shared" si="2"/>
        <v>0</v>
      </c>
    </row>
    <row r="195" spans="1:8">
      <c r="A195" s="497" t="s">
        <v>1474</v>
      </c>
      <c r="B195" s="497"/>
      <c r="C195" s="497" t="s">
        <v>1475</v>
      </c>
      <c r="D195" s="498">
        <v>4769.66</v>
      </c>
      <c r="G195" s="498">
        <f t="shared" si="2"/>
        <v>31286.9186462</v>
      </c>
      <c r="H195" s="498">
        <f t="shared" si="2"/>
        <v>0</v>
      </c>
    </row>
    <row r="196" spans="1:8">
      <c r="A196" s="497" t="s">
        <v>1595</v>
      </c>
      <c r="B196" s="497"/>
      <c r="C196" s="497" t="s">
        <v>1465</v>
      </c>
      <c r="D196" s="498">
        <v>288552.83</v>
      </c>
      <c r="E196" s="498">
        <v>10786.08</v>
      </c>
      <c r="G196" s="498">
        <f t="shared" ref="G196:H252" si="3">+D196*6.55957</f>
        <v>1892782.4870831</v>
      </c>
      <c r="H196" s="498">
        <f t="shared" si="3"/>
        <v>70752.046785600003</v>
      </c>
    </row>
    <row r="197" spans="1:8">
      <c r="A197" s="497" t="s">
        <v>1466</v>
      </c>
      <c r="B197" s="497"/>
      <c r="C197" s="497" t="s">
        <v>1237</v>
      </c>
      <c r="D197" s="498">
        <v>118.32</v>
      </c>
      <c r="G197" s="498">
        <f t="shared" si="3"/>
        <v>776.12832239999989</v>
      </c>
      <c r="H197" s="498">
        <f t="shared" si="3"/>
        <v>0</v>
      </c>
    </row>
    <row r="198" spans="1:8">
      <c r="A198" s="497" t="s">
        <v>1238</v>
      </c>
      <c r="B198" s="497"/>
      <c r="C198" s="497" t="s">
        <v>1480</v>
      </c>
      <c r="D198" s="498">
        <v>118.32</v>
      </c>
      <c r="G198" s="498">
        <f t="shared" si="3"/>
        <v>776.12832239999989</v>
      </c>
      <c r="H198" s="498">
        <f t="shared" si="3"/>
        <v>0</v>
      </c>
    </row>
    <row r="199" spans="1:8">
      <c r="A199" s="497" t="s">
        <v>1247</v>
      </c>
      <c r="B199" s="497"/>
      <c r="C199" s="497" t="s">
        <v>1248</v>
      </c>
      <c r="D199" s="498">
        <v>5399.6</v>
      </c>
      <c r="G199" s="498">
        <f t="shared" si="3"/>
        <v>35419.054172000004</v>
      </c>
      <c r="H199" s="498">
        <f t="shared" si="3"/>
        <v>0</v>
      </c>
    </row>
    <row r="200" spans="1:8">
      <c r="A200" s="497" t="s">
        <v>1606</v>
      </c>
      <c r="B200" s="497"/>
      <c r="C200" s="497" t="s">
        <v>1428</v>
      </c>
      <c r="D200" s="498">
        <v>247.75</v>
      </c>
      <c r="G200" s="498">
        <f t="shared" si="3"/>
        <v>1625.1334675000001</v>
      </c>
      <c r="H200" s="498">
        <f t="shared" si="3"/>
        <v>0</v>
      </c>
    </row>
    <row r="201" spans="1:8">
      <c r="A201" s="497" t="s">
        <v>1429</v>
      </c>
      <c r="B201" s="497"/>
      <c r="C201" s="497" t="s">
        <v>1427</v>
      </c>
      <c r="D201" s="498">
        <v>4748.83</v>
      </c>
      <c r="G201" s="498">
        <f t="shared" si="3"/>
        <v>31150.282803099999</v>
      </c>
      <c r="H201" s="498">
        <f t="shared" si="3"/>
        <v>0</v>
      </c>
    </row>
    <row r="202" spans="1:8">
      <c r="A202" s="497" t="s">
        <v>941</v>
      </c>
      <c r="B202" s="497"/>
      <c r="C202" s="497" t="s">
        <v>1430</v>
      </c>
      <c r="D202" s="498">
        <v>0.51</v>
      </c>
      <c r="G202" s="498">
        <f t="shared" si="3"/>
        <v>3.3453807000000002</v>
      </c>
      <c r="H202" s="498">
        <f t="shared" si="3"/>
        <v>0</v>
      </c>
    </row>
    <row r="203" spans="1:8">
      <c r="A203" s="497" t="s">
        <v>1431</v>
      </c>
      <c r="B203" s="497"/>
      <c r="C203" s="497" t="s">
        <v>1432</v>
      </c>
      <c r="D203" s="498">
        <v>10396.69</v>
      </c>
      <c r="G203" s="498">
        <f t="shared" si="3"/>
        <v>68197.815823299999</v>
      </c>
      <c r="H203" s="498">
        <f t="shared" si="3"/>
        <v>0</v>
      </c>
    </row>
    <row r="204" spans="1:8">
      <c r="A204" s="497" t="s">
        <v>1388</v>
      </c>
      <c r="B204" s="497"/>
      <c r="C204" s="497" t="s">
        <v>1389</v>
      </c>
      <c r="D204" s="498">
        <v>1177.52</v>
      </c>
      <c r="G204" s="498">
        <f t="shared" si="3"/>
        <v>7724.0248664000001</v>
      </c>
      <c r="H204" s="498">
        <f t="shared" si="3"/>
        <v>0</v>
      </c>
    </row>
    <row r="205" spans="1:8">
      <c r="A205" s="497" t="s">
        <v>1390</v>
      </c>
      <c r="B205" s="497"/>
      <c r="C205" s="497" t="s">
        <v>1250</v>
      </c>
      <c r="D205" s="498">
        <v>1177.52</v>
      </c>
      <c r="G205" s="498">
        <f t="shared" si="3"/>
        <v>7724.0248664000001</v>
      </c>
      <c r="H205" s="498">
        <f t="shared" si="3"/>
        <v>0</v>
      </c>
    </row>
    <row r="206" spans="1:8">
      <c r="A206" s="497" t="s">
        <v>1420</v>
      </c>
      <c r="B206" s="497"/>
      <c r="C206" s="497" t="s">
        <v>1088</v>
      </c>
      <c r="D206" s="498">
        <v>47803.8</v>
      </c>
      <c r="G206" s="498">
        <f t="shared" si="3"/>
        <v>313572.37236600003</v>
      </c>
      <c r="H206" s="498">
        <f t="shared" si="3"/>
        <v>0</v>
      </c>
    </row>
    <row r="207" spans="1:8">
      <c r="A207" s="497" t="s">
        <v>1089</v>
      </c>
      <c r="B207" s="497"/>
      <c r="C207" s="497" t="s">
        <v>1063</v>
      </c>
      <c r="D207" s="498">
        <v>47803.8</v>
      </c>
      <c r="G207" s="498">
        <f t="shared" si="3"/>
        <v>313572.37236600003</v>
      </c>
      <c r="H207" s="498">
        <f t="shared" si="3"/>
        <v>0</v>
      </c>
    </row>
    <row r="208" spans="1:8">
      <c r="A208" s="497" t="s">
        <v>1064</v>
      </c>
      <c r="B208" s="497"/>
      <c r="C208" s="497" t="s">
        <v>908</v>
      </c>
      <c r="D208" s="498">
        <v>47803.8</v>
      </c>
      <c r="G208" s="498">
        <f t="shared" si="3"/>
        <v>313572.37236600003</v>
      </c>
      <c r="H208" s="498">
        <f t="shared" si="3"/>
        <v>0</v>
      </c>
    </row>
    <row r="209" spans="1:8">
      <c r="A209" s="500" t="s">
        <v>909</v>
      </c>
      <c r="B209" s="500"/>
      <c r="C209" s="500" t="s">
        <v>902</v>
      </c>
      <c r="D209" s="501">
        <v>872228.84</v>
      </c>
      <c r="E209" s="501">
        <v>11963.6</v>
      </c>
      <c r="F209" s="502"/>
      <c r="G209" s="501">
        <f t="shared" si="3"/>
        <v>5721446.1319987997</v>
      </c>
      <c r="H209" s="501">
        <f t="shared" si="3"/>
        <v>78476.071651999999</v>
      </c>
    </row>
    <row r="210" spans="1:8">
      <c r="A210" s="497" t="s">
        <v>903</v>
      </c>
      <c r="B210" s="497"/>
      <c r="C210" s="497" t="s">
        <v>904</v>
      </c>
      <c r="E210" s="498">
        <v>11361.23</v>
      </c>
      <c r="G210" s="498">
        <f t="shared" si="3"/>
        <v>0</v>
      </c>
      <c r="H210" s="498">
        <f t="shared" si="3"/>
        <v>74524.783471100003</v>
      </c>
    </row>
    <row r="211" spans="1:8">
      <c r="A211" s="497" t="s">
        <v>905</v>
      </c>
      <c r="B211" s="497"/>
      <c r="C211" s="497" t="s">
        <v>906</v>
      </c>
      <c r="E211" s="498">
        <v>275.35000000000002</v>
      </c>
      <c r="G211" s="498">
        <f t="shared" si="3"/>
        <v>0</v>
      </c>
      <c r="H211" s="498">
        <f t="shared" si="3"/>
        <v>1806.1775995</v>
      </c>
    </row>
    <row r="212" spans="1:8">
      <c r="A212" s="497" t="s">
        <v>892</v>
      </c>
      <c r="B212" s="497"/>
      <c r="C212" s="497" t="s">
        <v>893</v>
      </c>
      <c r="E212" s="498">
        <v>16051.65</v>
      </c>
      <c r="G212" s="498">
        <f t="shared" si="3"/>
        <v>0</v>
      </c>
      <c r="H212" s="498">
        <f t="shared" si="3"/>
        <v>105291.9217905</v>
      </c>
    </row>
    <row r="213" spans="1:8">
      <c r="A213" s="497" t="s">
        <v>1050</v>
      </c>
      <c r="B213" s="497"/>
      <c r="C213" s="497" t="s">
        <v>1051</v>
      </c>
      <c r="E213" s="498">
        <v>1511.6</v>
      </c>
      <c r="G213" s="498">
        <f t="shared" si="3"/>
        <v>0</v>
      </c>
      <c r="H213" s="498">
        <f t="shared" si="3"/>
        <v>9915.4460119999985</v>
      </c>
    </row>
    <row r="214" spans="1:8">
      <c r="A214" s="497" t="s">
        <v>1052</v>
      </c>
      <c r="B214" s="497"/>
      <c r="C214" s="497" t="s">
        <v>1215</v>
      </c>
      <c r="E214" s="498">
        <v>2661.12</v>
      </c>
      <c r="G214" s="498">
        <f t="shared" si="3"/>
        <v>0</v>
      </c>
      <c r="H214" s="498">
        <f t="shared" si="3"/>
        <v>17455.802918400001</v>
      </c>
    </row>
    <row r="215" spans="1:8">
      <c r="A215" s="497" t="s">
        <v>1216</v>
      </c>
      <c r="B215" s="497"/>
      <c r="C215" s="497" t="s">
        <v>1217</v>
      </c>
      <c r="E215" s="498">
        <v>4941.92</v>
      </c>
      <c r="G215" s="498">
        <f t="shared" si="3"/>
        <v>0</v>
      </c>
      <c r="H215" s="498">
        <f t="shared" si="3"/>
        <v>32416.870174399999</v>
      </c>
    </row>
    <row r="216" spans="1:8">
      <c r="A216" s="497" t="s">
        <v>1218</v>
      </c>
      <c r="B216" s="497"/>
      <c r="C216" s="497" t="s">
        <v>1065</v>
      </c>
      <c r="E216" s="498">
        <v>31145.66</v>
      </c>
      <c r="G216" s="498">
        <f t="shared" si="3"/>
        <v>0</v>
      </c>
      <c r="H216" s="498">
        <f t="shared" si="3"/>
        <v>204302.13696619999</v>
      </c>
    </row>
    <row r="217" spans="1:8">
      <c r="A217" s="497" t="s">
        <v>921</v>
      </c>
      <c r="B217" s="497"/>
      <c r="C217" s="497" t="s">
        <v>506</v>
      </c>
      <c r="E217" s="498">
        <v>4837.5</v>
      </c>
      <c r="G217" s="498">
        <f t="shared" si="3"/>
        <v>0</v>
      </c>
      <c r="H217" s="498">
        <f t="shared" si="3"/>
        <v>31731.919875</v>
      </c>
    </row>
    <row r="218" spans="1:8">
      <c r="A218" s="497" t="s">
        <v>680</v>
      </c>
      <c r="B218" s="497"/>
      <c r="C218" s="497" t="s">
        <v>681</v>
      </c>
      <c r="E218" s="498">
        <v>338878.71999999997</v>
      </c>
      <c r="G218" s="498">
        <f t="shared" si="3"/>
        <v>0</v>
      </c>
      <c r="H218" s="498">
        <f t="shared" si="3"/>
        <v>2222898.6853503999</v>
      </c>
    </row>
    <row r="219" spans="1:8">
      <c r="A219" s="497" t="s">
        <v>507</v>
      </c>
      <c r="B219" s="497"/>
      <c r="C219" s="497" t="s">
        <v>734</v>
      </c>
      <c r="E219" s="498">
        <v>122681.28</v>
      </c>
      <c r="G219" s="498">
        <f t="shared" si="3"/>
        <v>0</v>
      </c>
      <c r="H219" s="498">
        <f t="shared" si="3"/>
        <v>804736.44384960004</v>
      </c>
    </row>
    <row r="220" spans="1:8">
      <c r="A220" s="497" t="s">
        <v>735</v>
      </c>
      <c r="B220" s="497"/>
      <c r="C220" s="497" t="s">
        <v>675</v>
      </c>
      <c r="E220" s="498">
        <v>3642.76</v>
      </c>
      <c r="G220" s="498">
        <f t="shared" si="3"/>
        <v>0</v>
      </c>
      <c r="H220" s="498">
        <f t="shared" si="3"/>
        <v>23894.939213199999</v>
      </c>
    </row>
    <row r="221" spans="1:8">
      <c r="A221" s="497" t="s">
        <v>505</v>
      </c>
      <c r="B221" s="497"/>
      <c r="C221" s="497" t="s">
        <v>828</v>
      </c>
      <c r="E221" s="498">
        <v>1205</v>
      </c>
      <c r="G221" s="498">
        <f t="shared" si="3"/>
        <v>0</v>
      </c>
      <c r="H221" s="498">
        <f t="shared" si="3"/>
        <v>7904.2818500000003</v>
      </c>
    </row>
    <row r="222" spans="1:8">
      <c r="A222" s="497" t="s">
        <v>829</v>
      </c>
      <c r="B222" s="497"/>
      <c r="C222" s="497" t="s">
        <v>4</v>
      </c>
      <c r="E222" s="498">
        <v>26550.68</v>
      </c>
      <c r="G222" s="498">
        <f t="shared" si="3"/>
        <v>0</v>
      </c>
      <c r="H222" s="498">
        <f t="shared" si="3"/>
        <v>174161.04400759999</v>
      </c>
    </row>
    <row r="223" spans="1:8">
      <c r="A223" s="497" t="s">
        <v>5</v>
      </c>
      <c r="B223" s="497"/>
      <c r="C223" s="497" t="s">
        <v>6</v>
      </c>
      <c r="E223" s="498">
        <v>8138.63</v>
      </c>
      <c r="G223" s="498">
        <f t="shared" si="3"/>
        <v>0</v>
      </c>
      <c r="H223" s="498">
        <f t="shared" si="3"/>
        <v>53385.9131891</v>
      </c>
    </row>
    <row r="224" spans="1:8">
      <c r="A224" s="497" t="s">
        <v>7</v>
      </c>
      <c r="B224" s="497"/>
      <c r="C224" s="497" t="s">
        <v>437</v>
      </c>
      <c r="E224" s="498">
        <v>281049.69</v>
      </c>
      <c r="G224" s="498">
        <f t="shared" si="3"/>
        <v>0</v>
      </c>
      <c r="H224" s="498">
        <f t="shared" si="3"/>
        <v>1843565.1150332999</v>
      </c>
    </row>
    <row r="225" spans="1:8">
      <c r="A225" s="497" t="s">
        <v>251</v>
      </c>
      <c r="B225" s="497"/>
      <c r="C225" s="497" t="s">
        <v>252</v>
      </c>
      <c r="E225" s="498">
        <v>24272.1</v>
      </c>
      <c r="G225" s="498">
        <f t="shared" si="3"/>
        <v>0</v>
      </c>
      <c r="H225" s="498">
        <f t="shared" si="3"/>
        <v>159214.538997</v>
      </c>
    </row>
    <row r="226" spans="1:8">
      <c r="A226" s="497" t="s">
        <v>1092</v>
      </c>
      <c r="B226" s="497"/>
      <c r="C226" s="497" t="s">
        <v>1093</v>
      </c>
      <c r="E226" s="498">
        <v>79591.81</v>
      </c>
      <c r="G226" s="498">
        <f t="shared" si="3"/>
        <v>0</v>
      </c>
      <c r="H226" s="498">
        <f t="shared" si="3"/>
        <v>522088.04912169999</v>
      </c>
    </row>
    <row r="227" spans="1:8">
      <c r="A227" s="497" t="s">
        <v>1094</v>
      </c>
      <c r="B227" s="497"/>
      <c r="C227" s="497" t="s">
        <v>298</v>
      </c>
      <c r="E227" s="498">
        <v>15356.61</v>
      </c>
      <c r="G227" s="498">
        <f t="shared" si="3"/>
        <v>0</v>
      </c>
      <c r="H227" s="498">
        <f t="shared" si="3"/>
        <v>100732.7582577</v>
      </c>
    </row>
    <row r="228" spans="1:8">
      <c r="A228" s="497" t="s">
        <v>299</v>
      </c>
      <c r="B228" s="497"/>
      <c r="C228" s="497" t="s">
        <v>624</v>
      </c>
      <c r="E228" s="498">
        <v>2681.92</v>
      </c>
      <c r="G228" s="498">
        <f t="shared" si="3"/>
        <v>0</v>
      </c>
      <c r="H228" s="498">
        <f t="shared" si="3"/>
        <v>17592.2419744</v>
      </c>
    </row>
    <row r="229" spans="1:8">
      <c r="A229" s="497" t="s">
        <v>625</v>
      </c>
      <c r="B229" s="497"/>
      <c r="C229" s="497" t="s">
        <v>626</v>
      </c>
      <c r="E229" s="498">
        <v>138</v>
      </c>
      <c r="G229" s="498">
        <f t="shared" si="3"/>
        <v>0</v>
      </c>
      <c r="H229" s="498">
        <f t="shared" si="3"/>
        <v>905.22065999999995</v>
      </c>
    </row>
    <row r="230" spans="1:8">
      <c r="A230" s="497" t="s">
        <v>627</v>
      </c>
      <c r="B230" s="497"/>
      <c r="C230" s="497" t="s">
        <v>628</v>
      </c>
      <c r="E230" s="498">
        <v>1804.55</v>
      </c>
      <c r="G230" s="498">
        <f t="shared" si="3"/>
        <v>0</v>
      </c>
      <c r="H230" s="498">
        <f t="shared" si="3"/>
        <v>11837.0720435</v>
      </c>
    </row>
    <row r="231" spans="1:8">
      <c r="A231" s="497" t="s">
        <v>629</v>
      </c>
      <c r="B231" s="497"/>
      <c r="C231" s="497" t="s">
        <v>595</v>
      </c>
      <c r="E231" s="498">
        <v>1066.24</v>
      </c>
      <c r="G231" s="498">
        <f t="shared" si="3"/>
        <v>0</v>
      </c>
      <c r="H231" s="498">
        <f t="shared" si="3"/>
        <v>6994.0759167999995</v>
      </c>
    </row>
    <row r="232" spans="1:8">
      <c r="A232" s="497" t="s">
        <v>596</v>
      </c>
      <c r="B232" s="497"/>
      <c r="C232" s="497" t="s">
        <v>242</v>
      </c>
      <c r="E232" s="498">
        <v>806.91</v>
      </c>
      <c r="G232" s="498">
        <f t="shared" si="3"/>
        <v>0</v>
      </c>
      <c r="H232" s="498">
        <f t="shared" si="3"/>
        <v>5292.9826286999996</v>
      </c>
    </row>
    <row r="233" spans="1:8">
      <c r="A233" s="497" t="s">
        <v>243</v>
      </c>
      <c r="B233" s="497"/>
      <c r="C233" s="497" t="s">
        <v>356</v>
      </c>
      <c r="E233" s="498">
        <v>55</v>
      </c>
      <c r="G233" s="498">
        <f t="shared" si="3"/>
        <v>0</v>
      </c>
      <c r="H233" s="498">
        <f t="shared" si="3"/>
        <v>360.77634999999998</v>
      </c>
    </row>
    <row r="234" spans="1:8">
      <c r="A234" s="497" t="s">
        <v>357</v>
      </c>
      <c r="B234" s="497"/>
      <c r="C234" s="497" t="s">
        <v>358</v>
      </c>
      <c r="E234" s="498">
        <v>27920.54</v>
      </c>
      <c r="G234" s="498">
        <f t="shared" si="3"/>
        <v>0</v>
      </c>
      <c r="H234" s="498">
        <f t="shared" si="3"/>
        <v>183146.73656779999</v>
      </c>
    </row>
    <row r="235" spans="1:8">
      <c r="A235" s="497" t="s">
        <v>359</v>
      </c>
      <c r="B235" s="497"/>
      <c r="C235" s="497" t="s">
        <v>565</v>
      </c>
      <c r="E235" s="498">
        <v>4921.62</v>
      </c>
      <c r="G235" s="498">
        <f t="shared" si="3"/>
        <v>0</v>
      </c>
      <c r="H235" s="498">
        <f t="shared" si="3"/>
        <v>32283.710903399999</v>
      </c>
    </row>
    <row r="236" spans="1:8">
      <c r="A236" s="497" t="s">
        <v>566</v>
      </c>
      <c r="B236" s="497"/>
      <c r="C236" s="497" t="s">
        <v>597</v>
      </c>
      <c r="E236" s="498">
        <v>1013548.09</v>
      </c>
      <c r="G236" s="498">
        <f t="shared" si="3"/>
        <v>0</v>
      </c>
      <c r="H236" s="498">
        <f t="shared" si="3"/>
        <v>6648439.6447212994</v>
      </c>
    </row>
    <row r="237" spans="1:8">
      <c r="A237" s="497" t="s">
        <v>792</v>
      </c>
      <c r="B237" s="497"/>
      <c r="C237" s="497" t="s">
        <v>676</v>
      </c>
      <c r="E237" s="498">
        <v>66.260000000000005</v>
      </c>
      <c r="G237" s="498">
        <f t="shared" si="3"/>
        <v>0</v>
      </c>
      <c r="H237" s="498">
        <f t="shared" si="3"/>
        <v>434.6371082</v>
      </c>
    </row>
    <row r="238" spans="1:8">
      <c r="A238" s="497" t="s">
        <v>677</v>
      </c>
      <c r="B238" s="497"/>
      <c r="C238" s="497" t="s">
        <v>712</v>
      </c>
      <c r="E238" s="498">
        <v>66.260000000000005</v>
      </c>
      <c r="G238" s="498">
        <f t="shared" si="3"/>
        <v>0</v>
      </c>
      <c r="H238" s="498">
        <f t="shared" si="3"/>
        <v>434.6371082</v>
      </c>
    </row>
    <row r="239" spans="1:8">
      <c r="A239" s="497" t="s">
        <v>320</v>
      </c>
      <c r="B239" s="497"/>
      <c r="C239" s="497" t="s">
        <v>710</v>
      </c>
      <c r="E239" s="498">
        <v>2154.21</v>
      </c>
      <c r="G239" s="498">
        <f t="shared" si="3"/>
        <v>0</v>
      </c>
      <c r="H239" s="498">
        <f t="shared" si="3"/>
        <v>14130.6912897</v>
      </c>
    </row>
    <row r="240" spans="1:8">
      <c r="A240" s="497" t="s">
        <v>711</v>
      </c>
      <c r="B240" s="497"/>
      <c r="C240" s="497" t="s">
        <v>705</v>
      </c>
      <c r="E240" s="498">
        <v>47.67</v>
      </c>
      <c r="G240" s="498">
        <f t="shared" si="3"/>
        <v>0</v>
      </c>
      <c r="H240" s="498">
        <f t="shared" si="3"/>
        <v>312.69470189999998</v>
      </c>
    </row>
    <row r="241" spans="1:8">
      <c r="A241" s="497" t="s">
        <v>717</v>
      </c>
      <c r="B241" s="497"/>
      <c r="C241" s="497" t="s">
        <v>693</v>
      </c>
      <c r="E241" s="498">
        <v>0.34</v>
      </c>
      <c r="G241" s="498">
        <f t="shared" si="3"/>
        <v>0</v>
      </c>
      <c r="H241" s="498">
        <f t="shared" si="3"/>
        <v>2.2302538000000003</v>
      </c>
    </row>
    <row r="242" spans="1:8">
      <c r="A242" s="497" t="s">
        <v>694</v>
      </c>
      <c r="B242" s="497"/>
      <c r="C242" s="497" t="s">
        <v>870</v>
      </c>
      <c r="E242" s="498">
        <v>2202.2199999999998</v>
      </c>
      <c r="G242" s="498">
        <f t="shared" si="3"/>
        <v>0</v>
      </c>
      <c r="H242" s="498">
        <f t="shared" si="3"/>
        <v>14445.616245399999</v>
      </c>
    </row>
    <row r="243" spans="1:8">
      <c r="A243" s="497" t="s">
        <v>894</v>
      </c>
      <c r="B243" s="497"/>
      <c r="C243" s="497" t="s">
        <v>895</v>
      </c>
      <c r="E243" s="498">
        <v>13498.07</v>
      </c>
      <c r="G243" s="498">
        <f t="shared" si="3"/>
        <v>0</v>
      </c>
      <c r="H243" s="498">
        <f t="shared" si="3"/>
        <v>88541.535029899998</v>
      </c>
    </row>
    <row r="244" spans="1:8">
      <c r="A244" s="497" t="s">
        <v>722</v>
      </c>
      <c r="B244" s="497"/>
      <c r="C244" s="497" t="s">
        <v>723</v>
      </c>
      <c r="E244" s="498">
        <v>17751.2</v>
      </c>
      <c r="G244" s="498">
        <f t="shared" si="3"/>
        <v>0</v>
      </c>
      <c r="H244" s="498">
        <f t="shared" si="3"/>
        <v>116440.238984</v>
      </c>
    </row>
    <row r="245" spans="1:8">
      <c r="A245" s="497" t="s">
        <v>533</v>
      </c>
      <c r="B245" s="497"/>
      <c r="C245" s="497" t="s">
        <v>870</v>
      </c>
      <c r="E245" s="498">
        <v>31249.27</v>
      </c>
      <c r="G245" s="498">
        <f t="shared" si="3"/>
        <v>0</v>
      </c>
      <c r="H245" s="498">
        <f t="shared" si="3"/>
        <v>204981.77401389999</v>
      </c>
    </row>
    <row r="246" spans="1:8">
      <c r="A246" s="497" t="s">
        <v>534</v>
      </c>
      <c r="B246" s="497"/>
      <c r="C246" s="497" t="s">
        <v>706</v>
      </c>
      <c r="E246" s="498">
        <v>12538</v>
      </c>
      <c r="G246" s="498">
        <f t="shared" si="3"/>
        <v>0</v>
      </c>
      <c r="H246" s="498">
        <f t="shared" si="3"/>
        <v>82243.888659999997</v>
      </c>
    </row>
    <row r="247" spans="1:8">
      <c r="A247" s="497" t="s">
        <v>540</v>
      </c>
      <c r="B247" s="497"/>
      <c r="C247" s="497" t="s">
        <v>541</v>
      </c>
      <c r="E247" s="498">
        <v>12538</v>
      </c>
      <c r="G247" s="498">
        <f t="shared" si="3"/>
        <v>0</v>
      </c>
      <c r="H247" s="498">
        <f t="shared" si="3"/>
        <v>82243.888659999997</v>
      </c>
    </row>
    <row r="248" spans="1:8">
      <c r="A248" s="497" t="s">
        <v>542</v>
      </c>
      <c r="B248" s="497"/>
      <c r="C248" s="497" t="s">
        <v>369</v>
      </c>
      <c r="E248" s="498">
        <v>12538</v>
      </c>
      <c r="G248" s="498">
        <f t="shared" si="3"/>
        <v>0</v>
      </c>
      <c r="H248" s="498">
        <f t="shared" si="3"/>
        <v>82243.888659999997</v>
      </c>
    </row>
    <row r="249" spans="1:8">
      <c r="A249" s="497" t="s">
        <v>370</v>
      </c>
      <c r="B249" s="497"/>
      <c r="C249" s="497" t="s">
        <v>30</v>
      </c>
      <c r="E249" s="498">
        <v>141.47</v>
      </c>
      <c r="G249" s="498">
        <f t="shared" si="3"/>
        <v>0</v>
      </c>
      <c r="H249" s="498">
        <f t="shared" si="3"/>
        <v>927.98236789999999</v>
      </c>
    </row>
    <row r="250" spans="1:8">
      <c r="A250" s="497" t="s">
        <v>31</v>
      </c>
      <c r="B250" s="497"/>
      <c r="C250" s="497" t="s">
        <v>174</v>
      </c>
      <c r="E250" s="498">
        <v>141.47</v>
      </c>
      <c r="G250" s="498">
        <f t="shared" si="3"/>
        <v>0</v>
      </c>
      <c r="H250" s="498">
        <f t="shared" si="3"/>
        <v>927.98236789999999</v>
      </c>
    </row>
    <row r="251" spans="1:8">
      <c r="A251" s="500" t="s">
        <v>175</v>
      </c>
      <c r="B251" s="500"/>
      <c r="C251" s="500" t="s">
        <v>176</v>
      </c>
      <c r="D251" s="501"/>
      <c r="E251" s="501">
        <v>1059745.31</v>
      </c>
      <c r="F251" s="502"/>
      <c r="G251" s="501">
        <f t="shared" si="3"/>
        <v>0</v>
      </c>
      <c r="H251" s="501">
        <f t="shared" si="3"/>
        <v>6951473.5431166999</v>
      </c>
    </row>
    <row r="252" spans="1:8">
      <c r="A252" s="497" t="s">
        <v>102</v>
      </c>
      <c r="B252" s="497"/>
      <c r="C252" s="497" t="s">
        <v>103</v>
      </c>
      <c r="D252" s="498">
        <v>0.01</v>
      </c>
      <c r="G252" s="498">
        <f t="shared" si="3"/>
        <v>6.5595700000000007E-2</v>
      </c>
      <c r="H252" s="498">
        <f t="shared" si="3"/>
        <v>0</v>
      </c>
    </row>
  </sheetData>
  <mergeCells count="3">
    <mergeCell ref="D1:E1"/>
    <mergeCell ref="G1:H1"/>
    <mergeCell ref="I1:J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 enableFormatConditionsCalculation="0"/>
  <dimension ref="A1:C17"/>
  <sheetViews>
    <sheetView workbookViewId="0">
      <selection activeCell="B24" sqref="B24"/>
    </sheetView>
  </sheetViews>
  <sheetFormatPr baseColWidth="10" defaultRowHeight="13" x14ac:dyDescent="0"/>
  <sheetData>
    <row r="1" spans="1:3">
      <c r="B1" t="s">
        <v>406</v>
      </c>
      <c r="C1" t="s">
        <v>407</v>
      </c>
    </row>
    <row r="2" spans="1:3">
      <c r="A2" s="22" t="s">
        <v>387</v>
      </c>
      <c r="B2" s="103">
        <v>585543</v>
      </c>
      <c r="C2" s="103">
        <v>154309</v>
      </c>
    </row>
    <row r="3" spans="1:3">
      <c r="A3" s="22" t="s">
        <v>496</v>
      </c>
      <c r="B3" s="103">
        <v>593778</v>
      </c>
      <c r="C3" s="103">
        <v>138229</v>
      </c>
    </row>
    <row r="4" spans="1:3">
      <c r="A4" s="22" t="s">
        <v>497</v>
      </c>
      <c r="B4" s="103">
        <v>561079</v>
      </c>
      <c r="C4" s="103">
        <v>103634</v>
      </c>
    </row>
    <row r="5" spans="1:3">
      <c r="A5" s="22" t="s">
        <v>820</v>
      </c>
      <c r="B5" s="103">
        <v>355940</v>
      </c>
      <c r="C5" s="103">
        <v>-104733</v>
      </c>
    </row>
    <row r="6" spans="1:3">
      <c r="A6" s="22" t="s">
        <v>953</v>
      </c>
      <c r="B6" s="103">
        <v>647997</v>
      </c>
      <c r="C6" s="103">
        <v>202025</v>
      </c>
    </row>
    <row r="7" spans="1:3">
      <c r="A7" s="22" t="s">
        <v>970</v>
      </c>
      <c r="B7" s="103">
        <v>393678</v>
      </c>
      <c r="C7" s="103">
        <v>-23420</v>
      </c>
    </row>
    <row r="8" spans="1:3">
      <c r="A8" s="22" t="s">
        <v>972</v>
      </c>
      <c r="B8" s="103">
        <v>490507</v>
      </c>
      <c r="C8" s="103">
        <v>74979</v>
      </c>
    </row>
    <row r="9" spans="1:3">
      <c r="A9" s="22" t="s">
        <v>740</v>
      </c>
      <c r="B9" s="103">
        <v>614750</v>
      </c>
      <c r="C9" s="103">
        <v>96179</v>
      </c>
    </row>
    <row r="10" spans="1:3">
      <c r="A10" s="22" t="s">
        <v>668</v>
      </c>
      <c r="B10" s="103">
        <v>620900</v>
      </c>
      <c r="C10" s="103">
        <v>80677</v>
      </c>
    </row>
    <row r="11" spans="1:3">
      <c r="A11" s="22" t="s">
        <v>1290</v>
      </c>
      <c r="B11" s="103">
        <v>647687.6</v>
      </c>
      <c r="C11" s="103">
        <v>154861.45000000001</v>
      </c>
    </row>
    <row r="12" spans="1:3">
      <c r="A12" s="22" t="s">
        <v>726</v>
      </c>
      <c r="B12" s="103">
        <v>563230.17000000004</v>
      </c>
      <c r="C12" s="103">
        <v>45119.61</v>
      </c>
    </row>
    <row r="13" spans="1:3" ht="14" thickBot="1">
      <c r="A13" s="38" t="s">
        <v>727</v>
      </c>
      <c r="B13" s="103">
        <v>706313</v>
      </c>
      <c r="C13" s="103">
        <v>117531</v>
      </c>
    </row>
    <row r="14" spans="1:3">
      <c r="B14" s="103">
        <v>486510</v>
      </c>
      <c r="C14" s="103">
        <v>-487</v>
      </c>
    </row>
    <row r="15" spans="1:3">
      <c r="B15" s="103">
        <v>428246</v>
      </c>
      <c r="C15" s="103">
        <v>-2035</v>
      </c>
    </row>
    <row r="16" spans="1:3">
      <c r="B16" s="103">
        <v>619202</v>
      </c>
      <c r="C16" s="103">
        <v>88061</v>
      </c>
    </row>
    <row r="17" spans="2:3">
      <c r="B17" s="103"/>
      <c r="C17" s="103"/>
    </row>
  </sheetData>
  <printOptions gridLines="1" gridLinesSet="0"/>
  <pageMargins left="0.75" right="0.75" top="1" bottom="1" header="0.5" footer="0.5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Charts</vt:lpstr>
      </vt:variant>
      <vt:variant>
        <vt:i4>28</vt:i4>
      </vt:variant>
    </vt:vector>
  </HeadingPairs>
  <TitlesOfParts>
    <vt:vector size="51" baseType="lpstr">
      <vt:lpstr>year data</vt:lpstr>
      <vt:lpstr>Month S&amp;P</vt:lpstr>
      <vt:lpstr>Project</vt:lpstr>
      <vt:lpstr>Debt</vt:lpstr>
      <vt:lpstr>71 Data</vt:lpstr>
      <vt:lpstr>CAEE nut</vt:lpstr>
      <vt:lpstr>CAEE Data</vt:lpstr>
      <vt:lpstr>Exp Data</vt:lpstr>
      <vt:lpstr>Stock price</vt:lpstr>
      <vt:lpstr>Stock$ Cal Data</vt:lpstr>
      <vt:lpstr>Opt price</vt:lpstr>
      <vt:lpstr>CAEE BS Nov</vt:lpstr>
      <vt:lpstr>CAEE BS Liz</vt:lpstr>
      <vt:lpstr>Stock$ Data FR</vt:lpstr>
      <vt:lpstr>BS</vt:lpstr>
      <vt:lpstr>By Team</vt:lpstr>
      <vt:lpstr>Lab</vt:lpstr>
      <vt:lpstr>yr to yr comp</vt:lpstr>
      <vt:lpstr>Sep 99 BS</vt:lpstr>
      <vt:lpstr>France Accounts</vt:lpstr>
      <vt:lpstr>CAEE BS 01-02</vt:lpstr>
      <vt:lpstr>Rabiha's Accts</vt:lpstr>
      <vt:lpstr>By Group</vt:lpstr>
      <vt:lpstr>yearly_p_vs_s</vt:lpstr>
      <vt:lpstr>12m_s&amp;p (2)</vt:lpstr>
      <vt:lpstr>12m_s&amp;p</vt:lpstr>
      <vt:lpstr>Debt Cht</vt:lpstr>
      <vt:lpstr>P_Improve</vt:lpstr>
      <vt:lpstr>trailing_12_months</vt:lpstr>
      <vt:lpstr>p_vs_s</vt:lpstr>
      <vt:lpstr>SPC mo new</vt:lpstr>
      <vt:lpstr>Qrt SPC aft dec98</vt:lpstr>
      <vt:lpstr>P &amp; L 12yr</vt:lpstr>
      <vt:lpstr>Qtr P SPC</vt:lpstr>
      <vt:lpstr>winter_m_p&amp;l</vt:lpstr>
      <vt:lpstr>s_growth</vt:lpstr>
      <vt:lpstr>s_by_qtr</vt:lpstr>
      <vt:lpstr>profit_ytd</vt:lpstr>
      <vt:lpstr>71 trend</vt:lpstr>
      <vt:lpstr>CAEE 12m chart </vt:lpstr>
      <vt:lpstr>CAEE_p</vt:lpstr>
      <vt:lpstr>CAEE P vs S</vt:lpstr>
      <vt:lpstr>CAEE PvsS All</vt:lpstr>
      <vt:lpstr>Exp_p_vs_s 03-05</vt:lpstr>
      <vt:lpstr>Exp_p</vt:lpstr>
      <vt:lpstr>Exp qtr p</vt:lpstr>
      <vt:lpstr>CAEE+Exp_p</vt:lpstr>
      <vt:lpstr>stock_price_cht</vt:lpstr>
      <vt:lpstr>Profit vs goal</vt:lpstr>
      <vt:lpstr>Sales by Month</vt:lpstr>
      <vt:lpstr>CAEE rolling nut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CleanAir Financial Charts</dc:title>
  <dc:creator>Walker's</dc:creator>
  <cp:keywords/>
  <cp:lastModifiedBy>Bill Walker</cp:lastModifiedBy>
  <cp:lastPrinted>2009-04-02T20:45:04Z</cp:lastPrinted>
  <dcterms:created xsi:type="dcterms:W3CDTF">1999-08-11T21:14:16Z</dcterms:created>
  <dcterms:modified xsi:type="dcterms:W3CDTF">2013-12-12T21:55:26Z</dcterms:modified>
</cp:coreProperties>
</file>