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date1904="1" showInkAnnotation="0" autoCompressPictures="0"/>
  <bookViews>
    <workbookView xWindow="4880" yWindow="220" windowWidth="40780" windowHeight="19120" tabRatio="500"/>
  </bookViews>
  <sheets>
    <sheet name="CAE model 1.1" sheetId="1" r:id="rId1"/>
  </sheets>
  <definedNames>
    <definedName name="_xlnm.Database">'CAE model 1.1'!$I:$I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2" i="1" l="1"/>
  <c r="M15" i="1"/>
  <c r="M18" i="1"/>
  <c r="M20" i="1"/>
  <c r="M2" i="1"/>
  <c r="N12" i="1"/>
  <c r="N15" i="1"/>
  <c r="N18" i="1"/>
  <c r="N20" i="1"/>
  <c r="N2" i="1"/>
  <c r="P6" i="1"/>
  <c r="P13" i="1"/>
  <c r="P15" i="1"/>
  <c r="P17" i="1"/>
  <c r="P18" i="1"/>
  <c r="P20" i="1"/>
  <c r="P2" i="1"/>
  <c r="Q6" i="1"/>
  <c r="R13" i="1"/>
  <c r="R15" i="1"/>
  <c r="R17" i="1"/>
  <c r="R18" i="1"/>
  <c r="R20" i="1"/>
  <c r="R2" i="1"/>
  <c r="S13" i="1"/>
  <c r="S15" i="1"/>
  <c r="S17" i="1"/>
  <c r="S20" i="1"/>
  <c r="S2" i="1"/>
  <c r="T13" i="1"/>
  <c r="T15" i="1"/>
  <c r="T17" i="1"/>
  <c r="T20" i="1"/>
  <c r="T2" i="1"/>
  <c r="U13" i="1"/>
  <c r="U15" i="1"/>
  <c r="U17" i="1"/>
  <c r="U20" i="1"/>
  <c r="U2" i="1"/>
  <c r="V13" i="1"/>
  <c r="V15" i="1"/>
  <c r="V17" i="1"/>
  <c r="V20" i="1"/>
  <c r="V2" i="1"/>
  <c r="B2" i="1"/>
  <c r="F2" i="1"/>
  <c r="H15" i="1"/>
  <c r="H17" i="1"/>
  <c r="H20" i="1"/>
  <c r="H2" i="1"/>
  <c r="I12" i="1"/>
  <c r="I15" i="1"/>
  <c r="I17" i="1"/>
  <c r="I18" i="1"/>
  <c r="I20" i="1"/>
  <c r="I2" i="1"/>
  <c r="J12" i="1"/>
  <c r="J15" i="1"/>
  <c r="J18" i="1"/>
  <c r="J20" i="1"/>
  <c r="J2" i="1"/>
  <c r="K12" i="1"/>
  <c r="K15" i="1"/>
  <c r="K18" i="1"/>
  <c r="K20" i="1"/>
  <c r="K2" i="1"/>
  <c r="L21" i="1"/>
  <c r="AA12" i="1"/>
  <c r="AA15" i="1"/>
  <c r="AA18" i="1"/>
  <c r="AA20" i="1"/>
  <c r="L20" i="1"/>
  <c r="L2" i="1"/>
  <c r="W13" i="1"/>
  <c r="W15" i="1"/>
  <c r="W17" i="1"/>
  <c r="W20" i="1"/>
  <c r="W2" i="1"/>
  <c r="Z12" i="1"/>
  <c r="Z15" i="1"/>
  <c r="Z18" i="1"/>
  <c r="Z20" i="1"/>
  <c r="Z2" i="1"/>
  <c r="AA2" i="1"/>
  <c r="H5" i="1"/>
  <c r="H4" i="1"/>
  <c r="I5" i="1"/>
  <c r="I4" i="1"/>
  <c r="J5" i="1"/>
  <c r="J4" i="1"/>
  <c r="L12" i="1"/>
  <c r="K5" i="1"/>
  <c r="K4" i="1"/>
  <c r="L5" i="1"/>
  <c r="L4" i="1"/>
  <c r="M5" i="1"/>
  <c r="M4" i="1"/>
  <c r="N5" i="1"/>
  <c r="N4" i="1"/>
  <c r="O5" i="1"/>
  <c r="O4" i="1"/>
  <c r="P5" i="1"/>
  <c r="P4" i="1"/>
  <c r="B4" i="1"/>
  <c r="Q5" i="1"/>
  <c r="Q4" i="1"/>
  <c r="R5" i="1"/>
  <c r="R4" i="1"/>
  <c r="S5" i="1"/>
  <c r="S4" i="1"/>
  <c r="T5" i="1"/>
  <c r="T4" i="1"/>
  <c r="U5" i="1"/>
  <c r="U4" i="1"/>
  <c r="V5" i="1"/>
  <c r="V4" i="1"/>
  <c r="F4" i="1"/>
  <c r="W5" i="1"/>
  <c r="W4" i="1"/>
  <c r="Y5" i="1"/>
  <c r="Y4" i="1"/>
  <c r="Z5" i="1"/>
  <c r="Z4" i="1"/>
  <c r="AA5" i="1"/>
  <c r="AA4" i="1"/>
  <c r="B5" i="1"/>
  <c r="B12" i="1"/>
  <c r="C5" i="1"/>
  <c r="H6" i="1"/>
  <c r="I6" i="1"/>
  <c r="J6" i="1"/>
  <c r="L49" i="1"/>
  <c r="K6" i="1"/>
  <c r="L6" i="1"/>
  <c r="M6" i="1"/>
  <c r="N6" i="1"/>
  <c r="O6" i="1"/>
  <c r="R6" i="1"/>
  <c r="S6" i="1"/>
  <c r="T6" i="1"/>
  <c r="U6" i="1"/>
  <c r="V6" i="1"/>
  <c r="Z6" i="1"/>
  <c r="AA6" i="1"/>
  <c r="C12" i="1"/>
  <c r="D12" i="1"/>
  <c r="G12" i="1"/>
  <c r="L13" i="1"/>
  <c r="O13" i="1"/>
  <c r="Q13" i="1"/>
  <c r="B13" i="1"/>
  <c r="C13" i="1"/>
  <c r="D13" i="1"/>
  <c r="E13" i="1"/>
  <c r="Y13" i="1"/>
  <c r="A14" i="1"/>
  <c r="L14" i="1"/>
  <c r="L15" i="1"/>
  <c r="O15" i="1"/>
  <c r="Q15" i="1"/>
  <c r="B15" i="1"/>
  <c r="C15" i="1"/>
  <c r="D15" i="1"/>
  <c r="E15" i="1"/>
  <c r="Y15" i="1"/>
  <c r="L16" i="1"/>
  <c r="L17" i="1"/>
  <c r="O17" i="1"/>
  <c r="Q17" i="1"/>
  <c r="B17" i="1"/>
  <c r="C17" i="1"/>
  <c r="D17" i="1"/>
  <c r="E17" i="1"/>
  <c r="Y17" i="1"/>
  <c r="L18" i="1"/>
  <c r="O18" i="1"/>
  <c r="Q18" i="1"/>
  <c r="B18" i="1"/>
  <c r="C18" i="1"/>
  <c r="D18" i="1"/>
  <c r="E18" i="1"/>
  <c r="Y18" i="1"/>
  <c r="L19" i="1"/>
  <c r="O20" i="1"/>
  <c r="Q20" i="1"/>
  <c r="B20" i="1"/>
  <c r="C20" i="1"/>
  <c r="D20" i="1"/>
  <c r="E20" i="1"/>
  <c r="Y20" i="1"/>
  <c r="B21" i="1"/>
  <c r="C21" i="1"/>
  <c r="D21" i="1"/>
  <c r="E21" i="1"/>
  <c r="Y21" i="1"/>
  <c r="J23" i="1"/>
  <c r="K23" i="1"/>
  <c r="AA23" i="1"/>
  <c r="L23" i="1"/>
  <c r="M23" i="1"/>
  <c r="N23" i="1"/>
  <c r="O23" i="1"/>
  <c r="P23" i="1"/>
  <c r="Q23" i="1"/>
  <c r="R23" i="1"/>
  <c r="S23" i="1"/>
  <c r="T23" i="1"/>
  <c r="U23" i="1"/>
  <c r="V23" i="1"/>
  <c r="W23" i="1"/>
  <c r="B23" i="1"/>
  <c r="C23" i="1"/>
  <c r="D23" i="1"/>
  <c r="E23" i="1"/>
  <c r="H23" i="1"/>
  <c r="I23" i="1"/>
  <c r="Y23" i="1"/>
  <c r="Z23" i="1"/>
  <c r="K41" i="1"/>
  <c r="K43" i="1"/>
  <c r="K48" i="1"/>
  <c r="K50" i="1"/>
  <c r="K54" i="1"/>
  <c r="K64" i="1"/>
  <c r="K70" i="1"/>
  <c r="J24" i="1"/>
  <c r="AA37" i="1"/>
  <c r="AA41" i="1"/>
  <c r="AA43" i="1"/>
  <c r="AA48" i="1"/>
  <c r="AA50" i="1"/>
  <c r="AA54" i="1"/>
  <c r="AA58" i="1"/>
  <c r="AA64" i="1"/>
  <c r="AA70" i="1"/>
  <c r="K24" i="1"/>
  <c r="M41" i="1"/>
  <c r="M43" i="1"/>
  <c r="M48" i="1"/>
  <c r="M50" i="1"/>
  <c r="M54" i="1"/>
  <c r="M64" i="1"/>
  <c r="M66" i="1"/>
  <c r="M70" i="1"/>
  <c r="AA24" i="1"/>
  <c r="L24" i="1"/>
  <c r="N41" i="1"/>
  <c r="N48" i="1"/>
  <c r="N50" i="1"/>
  <c r="N54" i="1"/>
  <c r="N64" i="1"/>
  <c r="N66" i="1"/>
  <c r="N70" i="1"/>
  <c r="M24" i="1"/>
  <c r="O48" i="1"/>
  <c r="O50" i="1"/>
  <c r="O52" i="1"/>
  <c r="O54" i="1"/>
  <c r="O58" i="1"/>
  <c r="O64" i="1"/>
  <c r="O66" i="1"/>
  <c r="O70" i="1"/>
  <c r="N24" i="1"/>
  <c r="P48" i="1"/>
  <c r="P50" i="1"/>
  <c r="P52" i="1"/>
  <c r="P54" i="1"/>
  <c r="P64" i="1"/>
  <c r="P66" i="1"/>
  <c r="P70" i="1"/>
  <c r="O24" i="1"/>
  <c r="Q48" i="1"/>
  <c r="Q50" i="1"/>
  <c r="Q52" i="1"/>
  <c r="Q54" i="1"/>
  <c r="Q64" i="1"/>
  <c r="Q66" i="1"/>
  <c r="Q70" i="1"/>
  <c r="P24" i="1"/>
  <c r="R37" i="1"/>
  <c r="R41" i="1"/>
  <c r="R48" i="1"/>
  <c r="R50" i="1"/>
  <c r="R52" i="1"/>
  <c r="R54" i="1"/>
  <c r="R64" i="1"/>
  <c r="R66" i="1"/>
  <c r="R70" i="1"/>
  <c r="Q24" i="1"/>
  <c r="S47" i="1"/>
  <c r="S48" i="1"/>
  <c r="S50" i="1"/>
  <c r="S54" i="1"/>
  <c r="S60" i="1"/>
  <c r="S63" i="1"/>
  <c r="S64" i="1"/>
  <c r="S70" i="1"/>
  <c r="R24" i="1"/>
  <c r="T48" i="1"/>
  <c r="T50" i="1"/>
  <c r="T54" i="1"/>
  <c r="T64" i="1"/>
  <c r="T70" i="1"/>
  <c r="S24" i="1"/>
  <c r="U48" i="1"/>
  <c r="U50" i="1"/>
  <c r="U52" i="1"/>
  <c r="U54" i="1"/>
  <c r="U59" i="1"/>
  <c r="U63" i="1"/>
  <c r="U64" i="1"/>
  <c r="U70" i="1"/>
  <c r="T24" i="1"/>
  <c r="V48" i="1"/>
  <c r="V50" i="1"/>
  <c r="V52" i="1"/>
  <c r="V54" i="1"/>
  <c r="V59" i="1"/>
  <c r="V64" i="1"/>
  <c r="V70" i="1"/>
  <c r="U24" i="1"/>
  <c r="W48" i="1"/>
  <c r="W50" i="1"/>
  <c r="W54" i="1"/>
  <c r="W59" i="1"/>
  <c r="W63" i="1"/>
  <c r="W64" i="1"/>
  <c r="W70" i="1"/>
  <c r="V24" i="1"/>
  <c r="W24" i="1"/>
  <c r="B24" i="1"/>
  <c r="C24" i="1"/>
  <c r="D24" i="1"/>
  <c r="E24" i="1"/>
  <c r="I41" i="1"/>
  <c r="I43" i="1"/>
  <c r="I48" i="1"/>
  <c r="I50" i="1"/>
  <c r="I54" i="1"/>
  <c r="I60" i="1"/>
  <c r="I64" i="1"/>
  <c r="I70" i="1"/>
  <c r="H24" i="1"/>
  <c r="J41" i="1"/>
  <c r="J43" i="1"/>
  <c r="J47" i="1"/>
  <c r="J48" i="1"/>
  <c r="J50" i="1"/>
  <c r="J54" i="1"/>
  <c r="J64" i="1"/>
  <c r="J70" i="1"/>
  <c r="I24" i="1"/>
  <c r="Y24" i="1"/>
  <c r="Z24" i="1"/>
  <c r="L26" i="1"/>
  <c r="J27" i="1"/>
  <c r="K27" i="1"/>
  <c r="AA27" i="1"/>
  <c r="L27" i="1"/>
  <c r="M27" i="1"/>
  <c r="N27" i="1"/>
  <c r="O27" i="1"/>
  <c r="P27" i="1"/>
  <c r="Q27" i="1"/>
  <c r="R27" i="1"/>
  <c r="S27" i="1"/>
  <c r="T27" i="1"/>
  <c r="U27" i="1"/>
  <c r="V27" i="1"/>
  <c r="W27" i="1"/>
  <c r="B27" i="1"/>
  <c r="C27" i="1"/>
  <c r="D27" i="1"/>
  <c r="E27" i="1"/>
  <c r="H27" i="1"/>
  <c r="I27" i="1"/>
  <c r="Y27" i="1"/>
  <c r="Z27" i="1"/>
  <c r="I33" i="1"/>
  <c r="J33" i="1"/>
  <c r="K33" i="1"/>
  <c r="I34" i="1"/>
  <c r="J34" i="1"/>
  <c r="K34" i="1"/>
  <c r="L35" i="1"/>
  <c r="V35" i="1"/>
  <c r="B35" i="1"/>
  <c r="C35" i="1"/>
  <c r="D35" i="1"/>
  <c r="E35" i="1"/>
  <c r="Y35" i="1"/>
  <c r="L36" i="1"/>
  <c r="S36" i="1"/>
  <c r="T36" i="1"/>
  <c r="U36" i="1"/>
  <c r="V36" i="1"/>
  <c r="B36" i="1"/>
  <c r="C36" i="1"/>
  <c r="D36" i="1"/>
  <c r="E36" i="1"/>
  <c r="Y36" i="1"/>
  <c r="L37" i="1"/>
  <c r="O37" i="1"/>
  <c r="P37" i="1"/>
  <c r="Q37" i="1"/>
  <c r="S37" i="1"/>
  <c r="T37" i="1"/>
  <c r="U37" i="1"/>
  <c r="V37" i="1"/>
  <c r="W37" i="1"/>
  <c r="B37" i="1"/>
  <c r="C37" i="1"/>
  <c r="D37" i="1"/>
  <c r="E37" i="1"/>
  <c r="Y37" i="1"/>
  <c r="Z37" i="1"/>
  <c r="L38" i="1"/>
  <c r="S38" i="1"/>
  <c r="B38" i="1"/>
  <c r="C38" i="1"/>
  <c r="D38" i="1"/>
  <c r="E38" i="1"/>
  <c r="Y38" i="1"/>
  <c r="L41" i="1"/>
  <c r="B41" i="1"/>
  <c r="C41" i="1"/>
  <c r="D41" i="1"/>
  <c r="E41" i="1"/>
  <c r="Y41" i="1"/>
  <c r="Z41" i="1"/>
  <c r="L43" i="1"/>
  <c r="B43" i="1"/>
  <c r="C43" i="1"/>
  <c r="D43" i="1"/>
  <c r="E43" i="1"/>
  <c r="Y43" i="1"/>
  <c r="Z43" i="1"/>
  <c r="L44" i="1"/>
  <c r="B44" i="1"/>
  <c r="C44" i="1"/>
  <c r="D44" i="1"/>
  <c r="E44" i="1"/>
  <c r="Y44" i="1"/>
  <c r="L45" i="1"/>
  <c r="B45" i="1"/>
  <c r="C45" i="1"/>
  <c r="D45" i="1"/>
  <c r="E45" i="1"/>
  <c r="Y45" i="1"/>
  <c r="L46" i="1"/>
  <c r="B46" i="1"/>
  <c r="C46" i="1"/>
  <c r="D46" i="1"/>
  <c r="E46" i="1"/>
  <c r="Y46" i="1"/>
  <c r="B47" i="1"/>
  <c r="C47" i="1"/>
  <c r="D47" i="1"/>
  <c r="E47" i="1"/>
  <c r="Y47" i="1"/>
  <c r="L48" i="1"/>
  <c r="B48" i="1"/>
  <c r="C48" i="1"/>
  <c r="D48" i="1"/>
  <c r="E48" i="1"/>
  <c r="Y48" i="1"/>
  <c r="Z48" i="1"/>
  <c r="B49" i="1"/>
  <c r="C49" i="1"/>
  <c r="D49" i="1"/>
  <c r="E49" i="1"/>
  <c r="Y49" i="1"/>
  <c r="L50" i="1"/>
  <c r="B50" i="1"/>
  <c r="C50" i="1"/>
  <c r="D50" i="1"/>
  <c r="E50" i="1"/>
  <c r="Y50" i="1"/>
  <c r="Z50" i="1"/>
  <c r="L52" i="1"/>
  <c r="B52" i="1"/>
  <c r="C52" i="1"/>
  <c r="D52" i="1"/>
  <c r="E52" i="1"/>
  <c r="Y52" i="1"/>
  <c r="L54" i="1"/>
  <c r="B54" i="1"/>
  <c r="C54" i="1"/>
  <c r="D54" i="1"/>
  <c r="E54" i="1"/>
  <c r="Y54" i="1"/>
  <c r="Z54" i="1"/>
  <c r="L57" i="1"/>
  <c r="B57" i="1"/>
  <c r="C57" i="1"/>
  <c r="D57" i="1"/>
  <c r="E57" i="1"/>
  <c r="Y57" i="1"/>
  <c r="L58" i="1"/>
  <c r="B58" i="1"/>
  <c r="C58" i="1"/>
  <c r="D58" i="1"/>
  <c r="E58" i="1"/>
  <c r="Y58" i="1"/>
  <c r="Z58" i="1"/>
  <c r="L59" i="1"/>
  <c r="B59" i="1"/>
  <c r="C59" i="1"/>
  <c r="D59" i="1"/>
  <c r="E59" i="1"/>
  <c r="Y59" i="1"/>
  <c r="L60" i="1"/>
  <c r="B60" i="1"/>
  <c r="C60" i="1"/>
  <c r="D60" i="1"/>
  <c r="E60" i="1"/>
  <c r="Y60" i="1"/>
  <c r="L61" i="1"/>
  <c r="B61" i="1"/>
  <c r="C61" i="1"/>
  <c r="D61" i="1"/>
  <c r="L62" i="1"/>
  <c r="B62" i="1"/>
  <c r="C62" i="1"/>
  <c r="D62" i="1"/>
  <c r="E62" i="1"/>
  <c r="Y62" i="1"/>
  <c r="L63" i="1"/>
  <c r="B63" i="1"/>
  <c r="C63" i="1"/>
  <c r="D63" i="1"/>
  <c r="E63" i="1"/>
  <c r="Y63" i="1"/>
  <c r="L64" i="1"/>
  <c r="B64" i="1"/>
  <c r="D64" i="1"/>
  <c r="E64" i="1"/>
  <c r="Y64" i="1"/>
  <c r="Z64" i="1"/>
  <c r="L66" i="1"/>
  <c r="B66" i="1"/>
  <c r="C66" i="1"/>
  <c r="D66" i="1"/>
  <c r="E66" i="1"/>
  <c r="Y66" i="1"/>
  <c r="L68" i="1"/>
  <c r="B68" i="1"/>
  <c r="C68" i="1"/>
  <c r="D68" i="1"/>
  <c r="B70" i="1"/>
  <c r="C70" i="1"/>
  <c r="D70" i="1"/>
  <c r="E70" i="1"/>
  <c r="L70" i="1"/>
  <c r="Y70" i="1"/>
  <c r="Z70" i="1"/>
  <c r="M71" i="1"/>
  <c r="N71" i="1"/>
  <c r="O71" i="1"/>
  <c r="P71" i="1"/>
  <c r="Q71" i="1"/>
  <c r="R71" i="1"/>
  <c r="S71" i="1"/>
  <c r="T71" i="1"/>
  <c r="U71" i="1"/>
  <c r="V71" i="1"/>
  <c r="W71" i="1"/>
  <c r="B71" i="1"/>
  <c r="C71" i="1"/>
  <c r="D71" i="1"/>
  <c r="E71" i="1"/>
  <c r="I71" i="1"/>
  <c r="J71" i="1"/>
  <c r="K71" i="1"/>
  <c r="AA71" i="1"/>
  <c r="L71" i="1"/>
  <c r="Y71" i="1"/>
  <c r="Z71" i="1"/>
  <c r="M72" i="1"/>
  <c r="Q72" i="1"/>
  <c r="R72" i="1"/>
  <c r="S72" i="1"/>
  <c r="U72" i="1"/>
  <c r="B72" i="1"/>
  <c r="L72" i="1"/>
  <c r="Z72" i="1"/>
  <c r="AA72" i="1"/>
  <c r="M73" i="1"/>
  <c r="N73" i="1"/>
  <c r="O73" i="1"/>
  <c r="P73" i="1"/>
  <c r="Q73" i="1"/>
  <c r="R73" i="1"/>
  <c r="S73" i="1"/>
  <c r="T73" i="1"/>
  <c r="U73" i="1"/>
  <c r="V73" i="1"/>
  <c r="W73" i="1"/>
  <c r="B73" i="1"/>
  <c r="E73" i="1"/>
  <c r="I73" i="1"/>
  <c r="J73" i="1"/>
  <c r="K73" i="1"/>
  <c r="L73" i="1"/>
  <c r="Y73" i="1"/>
  <c r="Z73" i="1"/>
  <c r="AA73" i="1"/>
  <c r="M74" i="1"/>
  <c r="N74" i="1"/>
  <c r="O74" i="1"/>
  <c r="P74" i="1"/>
  <c r="Q74" i="1"/>
  <c r="R74" i="1"/>
  <c r="S74" i="1"/>
  <c r="T74" i="1"/>
  <c r="U74" i="1"/>
  <c r="V74" i="1"/>
  <c r="W74" i="1"/>
  <c r="B74" i="1"/>
  <c r="E74" i="1"/>
  <c r="I74" i="1"/>
  <c r="J74" i="1"/>
  <c r="K74" i="1"/>
  <c r="L74" i="1"/>
  <c r="Y74" i="1"/>
  <c r="Z74" i="1"/>
  <c r="AA74" i="1"/>
  <c r="M75" i="1"/>
  <c r="N75" i="1"/>
  <c r="O75" i="1"/>
  <c r="P75" i="1"/>
  <c r="Q75" i="1"/>
  <c r="R75" i="1"/>
  <c r="S75" i="1"/>
  <c r="T75" i="1"/>
  <c r="U75" i="1"/>
  <c r="V75" i="1"/>
  <c r="W75" i="1"/>
  <c r="B75" i="1"/>
  <c r="D75" i="1"/>
  <c r="I75" i="1"/>
  <c r="J75" i="1"/>
  <c r="K75" i="1"/>
  <c r="L75" i="1"/>
  <c r="Z75" i="1"/>
  <c r="AA75" i="1"/>
  <c r="J80" i="1"/>
  <c r="K80" i="1"/>
  <c r="AA80" i="1"/>
  <c r="L80" i="1"/>
  <c r="M80" i="1"/>
  <c r="N80" i="1"/>
  <c r="B80" i="1"/>
  <c r="C80" i="1"/>
  <c r="D80" i="1"/>
  <c r="E80" i="1"/>
  <c r="I80" i="1"/>
  <c r="Y80" i="1"/>
  <c r="Z80" i="1"/>
  <c r="K81" i="1"/>
  <c r="AA81" i="1"/>
  <c r="L81" i="1"/>
  <c r="M81" i="1"/>
  <c r="P81" i="1"/>
  <c r="B81" i="1"/>
  <c r="C81" i="1"/>
  <c r="D81" i="1"/>
  <c r="E83" i="1"/>
  <c r="E81" i="1"/>
  <c r="Y83" i="1"/>
  <c r="Y82" i="1"/>
  <c r="Y81" i="1"/>
  <c r="Z81" i="1"/>
  <c r="O82" i="1"/>
  <c r="P83" i="1"/>
  <c r="P82" i="1"/>
  <c r="B82" i="1"/>
  <c r="C82" i="1"/>
  <c r="D82" i="1"/>
  <c r="N83" i="1"/>
  <c r="S83" i="1"/>
  <c r="T83" i="1"/>
  <c r="U83" i="1"/>
  <c r="V83" i="1"/>
  <c r="W83" i="1"/>
  <c r="B83" i="1"/>
  <c r="C83" i="1"/>
  <c r="D83" i="1"/>
  <c r="I83" i="1"/>
  <c r="Z83" i="1"/>
  <c r="AA83" i="1"/>
  <c r="B84" i="1"/>
  <c r="C84" i="1"/>
  <c r="D84" i="1"/>
  <c r="E84" i="1"/>
  <c r="Y84" i="1"/>
  <c r="L85" i="1"/>
  <c r="B85" i="1"/>
  <c r="C85" i="1"/>
  <c r="D85" i="1"/>
  <c r="E85" i="1"/>
  <c r="Y85" i="1"/>
  <c r="J86" i="1"/>
  <c r="K86" i="1"/>
  <c r="L86" i="1"/>
  <c r="O86" i="1"/>
  <c r="P86" i="1"/>
  <c r="Q86" i="1"/>
  <c r="R86" i="1"/>
  <c r="S86" i="1"/>
  <c r="T86" i="1"/>
  <c r="U86" i="1"/>
  <c r="V86" i="1"/>
  <c r="W86" i="1"/>
  <c r="B86" i="1"/>
  <c r="C86" i="1"/>
  <c r="D86" i="1"/>
  <c r="E86" i="1"/>
  <c r="I86" i="1"/>
  <c r="Y86" i="1"/>
  <c r="B87" i="1"/>
  <c r="C87" i="1"/>
  <c r="M87" i="1"/>
  <c r="D87" i="1"/>
  <c r="E87" i="1"/>
  <c r="I87" i="1"/>
  <c r="J87" i="1"/>
  <c r="K87" i="1"/>
  <c r="L87" i="1"/>
  <c r="N87" i="1"/>
  <c r="O87" i="1"/>
  <c r="P87" i="1"/>
  <c r="Q87" i="1"/>
  <c r="R87" i="1"/>
  <c r="S87" i="1"/>
  <c r="T87" i="1"/>
  <c r="U87" i="1"/>
  <c r="V87" i="1"/>
  <c r="W87" i="1"/>
  <c r="Y87" i="1"/>
  <c r="Z87" i="1"/>
  <c r="AA87" i="1"/>
  <c r="I90" i="1"/>
  <c r="J90" i="1"/>
  <c r="K90" i="1"/>
  <c r="I91" i="1"/>
  <c r="J91" i="1"/>
  <c r="K91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B93" i="1"/>
  <c r="C93" i="1"/>
  <c r="E93" i="1"/>
  <c r="I93" i="1"/>
  <c r="Y93" i="1"/>
  <c r="Z93" i="1"/>
  <c r="AA93" i="1"/>
  <c r="B95" i="1"/>
  <c r="E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Y95" i="1"/>
  <c r="Z95" i="1"/>
  <c r="AA95" i="1"/>
  <c r="B96" i="1"/>
  <c r="E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Y96" i="1"/>
  <c r="Z96" i="1"/>
  <c r="AA96" i="1"/>
  <c r="B98" i="1"/>
  <c r="C98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B100" i="1"/>
  <c r="C100" i="1"/>
  <c r="E100" i="1"/>
  <c r="I100" i="1"/>
  <c r="Y100" i="1"/>
  <c r="Z100" i="1"/>
  <c r="AA100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B103" i="1"/>
  <c r="C103" i="1"/>
  <c r="E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Y103" i="1"/>
  <c r="Z103" i="1"/>
  <c r="AA103" i="1"/>
  <c r="B105" i="1"/>
  <c r="C105" i="1"/>
  <c r="E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Y105" i="1"/>
  <c r="Z105" i="1"/>
  <c r="AA105" i="1"/>
  <c r="B108" i="1"/>
  <c r="C108" i="1"/>
  <c r="E108" i="1"/>
  <c r="I108" i="1"/>
  <c r="J108" i="1"/>
  <c r="K108" i="1"/>
  <c r="AA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Y108" i="1"/>
  <c r="Z108" i="1"/>
  <c r="B109" i="1"/>
  <c r="C109" i="1"/>
  <c r="E109" i="1"/>
  <c r="I109" i="1"/>
  <c r="J109" i="1"/>
  <c r="K109" i="1"/>
  <c r="AA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Y109" i="1"/>
  <c r="Z109" i="1"/>
  <c r="B110" i="1"/>
  <c r="C110" i="1"/>
  <c r="E110" i="1"/>
  <c r="I110" i="1"/>
  <c r="J110" i="1"/>
  <c r="K110" i="1"/>
  <c r="AA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Y110" i="1"/>
  <c r="Z110" i="1"/>
  <c r="L111" i="1"/>
  <c r="B112" i="1"/>
  <c r="C112" i="1"/>
  <c r="E112" i="1"/>
  <c r="I112" i="1"/>
  <c r="J112" i="1"/>
  <c r="K112" i="1"/>
  <c r="AA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Y112" i="1"/>
  <c r="Z112" i="1"/>
  <c r="I113" i="1"/>
  <c r="J113" i="1"/>
  <c r="K113" i="1"/>
  <c r="AA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Y113" i="1"/>
  <c r="Z113" i="1"/>
  <c r="B114" i="1"/>
  <c r="C114" i="1"/>
  <c r="E114" i="1"/>
  <c r="I114" i="1"/>
  <c r="J114" i="1"/>
  <c r="K114" i="1"/>
  <c r="AA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Y114" i="1"/>
  <c r="Z114" i="1"/>
  <c r="B115" i="1"/>
  <c r="C115" i="1"/>
  <c r="E115" i="1"/>
  <c r="I115" i="1"/>
  <c r="J115" i="1"/>
  <c r="K115" i="1"/>
  <c r="AA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Y115" i="1"/>
  <c r="Z115" i="1"/>
  <c r="B116" i="1"/>
  <c r="C116" i="1"/>
  <c r="E116" i="1"/>
  <c r="I116" i="1"/>
  <c r="J116" i="1"/>
  <c r="K116" i="1"/>
  <c r="AA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Y116" i="1"/>
  <c r="Z116" i="1"/>
  <c r="L117" i="1"/>
  <c r="B118" i="1"/>
  <c r="C118" i="1"/>
  <c r="E118" i="1"/>
  <c r="I118" i="1"/>
  <c r="J118" i="1"/>
  <c r="K118" i="1"/>
  <c r="AA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Y118" i="1"/>
  <c r="Z118" i="1"/>
  <c r="B120" i="1"/>
  <c r="E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Y120" i="1"/>
  <c r="Z120" i="1"/>
  <c r="AA120" i="1"/>
  <c r="B121" i="1"/>
  <c r="E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Y121" i="1"/>
  <c r="Z121" i="1"/>
  <c r="AA121" i="1"/>
  <c r="B122" i="1"/>
  <c r="E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Y122" i="1"/>
  <c r="Z122" i="1"/>
  <c r="AA122" i="1"/>
  <c r="B124" i="1"/>
  <c r="E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Y124" i="1"/>
  <c r="Z124" i="1"/>
  <c r="AA124" i="1"/>
  <c r="B125" i="1"/>
  <c r="E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Y125" i="1"/>
  <c r="Z125" i="1"/>
  <c r="AA125" i="1"/>
  <c r="B127" i="1"/>
  <c r="E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B128" i="1"/>
  <c r="E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B129" i="1"/>
  <c r="E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B130" i="1"/>
  <c r="E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J133" i="1"/>
  <c r="K133" i="1"/>
</calcChain>
</file>

<file path=xl/sharedStrings.xml><?xml version="1.0" encoding="utf-8"?>
<sst xmlns="http://schemas.openxmlformats.org/spreadsheetml/2006/main" count="202" uniqueCount="105">
  <si>
    <t>Dividend payout rate</t>
  </si>
  <si>
    <t>Corporate tax rate</t>
  </si>
  <si>
    <t>Average interest rate</t>
  </si>
  <si>
    <t>Sales increase /Yr</t>
  </si>
  <si>
    <t>Depreciation</t>
  </si>
  <si>
    <t xml:space="preserve">Actual is </t>
  </si>
  <si>
    <t>79-90</t>
  </si>
  <si>
    <t>1988</t>
  </si>
  <si>
    <t>adjacent 78</t>
  </si>
  <si>
    <t>Avg 79-88</t>
  </si>
  <si>
    <t>% of</t>
  </si>
  <si>
    <t>1988s</t>
  </si>
  <si>
    <t>sales</t>
  </si>
  <si>
    <t>Projected</t>
  </si>
  <si>
    <t>Actual</t>
  </si>
  <si>
    <t>Anualized</t>
  </si>
  <si>
    <t>Net sales</t>
  </si>
  <si>
    <t>Cost of services sold</t>
  </si>
  <si>
    <t>-</t>
  </si>
  <si>
    <t>Gross profit</t>
  </si>
  <si>
    <t>Expenses</t>
  </si>
  <si>
    <t xml:space="preserve">  G&amp;A sales &amp; depr.(FY88p)</t>
  </si>
  <si>
    <t xml:space="preserve">  Interest less other inc</t>
  </si>
  <si>
    <t>Income before tax prov</t>
  </si>
  <si>
    <t>Tax provision</t>
  </si>
  <si>
    <t>Net income</t>
  </si>
  <si>
    <t>Ret. earn+paid in prev yr</t>
  </si>
  <si>
    <t>Adjustments stock etc.</t>
  </si>
  <si>
    <t>Retained earnings</t>
  </si>
  <si>
    <t>B A L A N C E   S H E E T S</t>
  </si>
  <si>
    <t>-------   A c t u a l  -------</t>
  </si>
  <si>
    <t xml:space="preserve">Avg </t>
  </si>
  <si>
    <t>% of sale</t>
  </si>
  <si>
    <t>1988stub</t>
  </si>
  <si>
    <t>ASSETS</t>
  </si>
  <si>
    <t>Project</t>
  </si>
  <si>
    <t xml:space="preserve">   Cash &amp; securities</t>
  </si>
  <si>
    <t xml:space="preserve">   A/R trade</t>
  </si>
  <si>
    <t xml:space="preserve">   Prepaid expenses</t>
  </si>
  <si>
    <t>Expense advance</t>
  </si>
  <si>
    <t>Refundable Income Tax</t>
  </si>
  <si>
    <t>Inventories</t>
  </si>
  <si>
    <t>Total current assets</t>
  </si>
  <si>
    <t>Equipment(FY88 for proj)</t>
  </si>
  <si>
    <t>Furniture</t>
  </si>
  <si>
    <t>Vehicles</t>
  </si>
  <si>
    <t>Leasehold</t>
  </si>
  <si>
    <t>Land &amp; buildings</t>
  </si>
  <si>
    <t>total</t>
  </si>
  <si>
    <t>Net fixed assets total</t>
  </si>
  <si>
    <t>Other assets</t>
  </si>
  <si>
    <t>Total assets</t>
  </si>
  <si>
    <t>LIABILITIES</t>
  </si>
  <si>
    <t>Notes</t>
  </si>
  <si>
    <t>A/P &amp; (cash)</t>
  </si>
  <si>
    <t>Salaries</t>
  </si>
  <si>
    <t>Accrued</t>
  </si>
  <si>
    <t>Deferred tax</t>
  </si>
  <si>
    <t>Current portion</t>
  </si>
  <si>
    <t>Other  (PS) ( TAX)</t>
  </si>
  <si>
    <t xml:space="preserve">  Total current</t>
  </si>
  <si>
    <t>LONG TERM</t>
  </si>
  <si>
    <t>Stock cost</t>
  </si>
  <si>
    <t>Equity</t>
  </si>
  <si>
    <t>Total liability &amp; equity</t>
  </si>
  <si>
    <t>Shares</t>
  </si>
  <si>
    <t>Share value</t>
  </si>
  <si>
    <t>Old Acct Meth</t>
  </si>
  <si>
    <t>value/9085sh</t>
  </si>
  <si>
    <t>INCOME STATEMENT</t>
  </si>
  <si>
    <t>Sales</t>
  </si>
  <si>
    <t>CAE Gross income</t>
  </si>
  <si>
    <t>SUB Gross income</t>
  </si>
  <si>
    <t>NA</t>
  </si>
  <si>
    <t>Total Gross income</t>
  </si>
  <si>
    <t>Profit sharing</t>
  </si>
  <si>
    <t>Taxes</t>
  </si>
  <si>
    <t>PROFIT %</t>
  </si>
  <si>
    <t>79-88</t>
  </si>
  <si>
    <t>Year</t>
  </si>
  <si>
    <t>Current Ratio</t>
  </si>
  <si>
    <t>assets purch</t>
  </si>
  <si>
    <t>Equip purch</t>
  </si>
  <si>
    <t>Total Liability /equity</t>
  </si>
  <si>
    <t>Actual debt/equity ratio</t>
  </si>
  <si>
    <t>Allowable debt/equity ratio</t>
  </si>
  <si>
    <t>Actual tax/equity ratio</t>
  </si>
  <si>
    <t>Allowable tax/equity ratio</t>
  </si>
  <si>
    <t>Total expenses</t>
  </si>
  <si>
    <t>A.T. return on sales</t>
  </si>
  <si>
    <t>Trade receivables</t>
  </si>
  <si>
    <t>Net PP&amp;E</t>
  </si>
  <si>
    <t>Trade liabilities</t>
  </si>
  <si>
    <t>Net asset turnover</t>
  </si>
  <si>
    <t>Return on net assets</t>
  </si>
  <si>
    <t>Net income(excl interest)</t>
  </si>
  <si>
    <t>Net assets</t>
  </si>
  <si>
    <t>A.T. interest</t>
  </si>
  <si>
    <t>Sustainable earnings growth</t>
  </si>
  <si>
    <t>Projection factor</t>
  </si>
  <si>
    <t>Total Borrowing</t>
  </si>
  <si>
    <t>Total Liabilities/Worth</t>
  </si>
  <si>
    <t>Debt Service( Income+Int+dep)/(prin+int)</t>
  </si>
  <si>
    <t>Fixed Asset Purchases</t>
  </si>
  <si>
    <t>Sale Increase % over last yr.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</si>
</sst>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7" formatCode="&quot;$&quot;#,##0.00_);\(&quot;$&quot;#,##0.00\)"/>
  </numFmts>
  <fonts count="6" x14ac:knownFonts="1">
    <font>
      <sz val="10"/>
      <name val="Geneva"/>
    </font>
    <font>
      <sz val="10"/>
      <name val="Geneva"/>
    </font>
    <font>
      <b/>
      <sz val="10"/>
      <color indexed="12"/>
      <name val="Geneva"/>
    </font>
    <font>
      <sz val="10"/>
      <color indexed="14"/>
      <name val="Geneva"/>
    </font>
    <font>
      <b/>
      <sz val="10"/>
      <color indexed="14"/>
      <name val="Geneva"/>
    </font>
    <font>
      <sz val="10"/>
      <color indexed="12"/>
      <name val="Genev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5" fontId="0" fillId="0" borderId="1" xfId="0" applyNumberFormat="1" applyBorder="1"/>
    <xf numFmtId="1" fontId="0" fillId="0" borderId="0" xfId="0" applyNumberFormat="1"/>
    <xf numFmtId="2" fontId="0" fillId="0" borderId="0" xfId="0" applyNumberFormat="1"/>
    <xf numFmtId="1" fontId="0" fillId="0" borderId="2" xfId="0" applyNumberFormat="1" applyBorder="1"/>
    <xf numFmtId="2" fontId="3" fillId="0" borderId="0" xfId="0" applyNumberFormat="1" applyFont="1"/>
    <xf numFmtId="5" fontId="0" fillId="0" borderId="0" xfId="0" applyNumberFormat="1"/>
    <xf numFmtId="3" fontId="2" fillId="0" borderId="0" xfId="0" applyNumberFormat="1" applyFont="1"/>
    <xf numFmtId="2" fontId="2" fillId="0" borderId="0" xfId="0" applyNumberFormat="1" applyFont="1"/>
    <xf numFmtId="10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" fontId="0" fillId="0" borderId="3" xfId="0" applyNumberFormat="1" applyBorder="1" applyAlignment="1">
      <alignment horizontal="fill"/>
    </xf>
    <xf numFmtId="5" fontId="0" fillId="0" borderId="0" xfId="0" applyNumberFormat="1" applyAlignment="1">
      <alignment horizontal="left"/>
    </xf>
    <xf numFmtId="7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5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fill"/>
    </xf>
    <xf numFmtId="5" fontId="3" fillId="0" borderId="1" xfId="0" applyNumberFormat="1" applyFont="1" applyBorder="1" applyAlignment="1">
      <alignment horizontal="fill"/>
    </xf>
    <xf numFmtId="5" fontId="0" fillId="0" borderId="1" xfId="0" applyNumberFormat="1" applyBorder="1" applyAlignment="1">
      <alignment horizontal="fill"/>
    </xf>
    <xf numFmtId="1" fontId="0" fillId="0" borderId="0" xfId="0" applyNumberFormat="1" applyAlignment="1">
      <alignment horizontal="fill"/>
    </xf>
    <xf numFmtId="5" fontId="3" fillId="0" borderId="0" xfId="0" applyNumberFormat="1" applyFont="1" applyAlignment="1">
      <alignment horizontal="fill"/>
    </xf>
    <xf numFmtId="5" fontId="0" fillId="0" borderId="0" xfId="0" applyNumberFormat="1" applyAlignment="1">
      <alignment horizontal="fill"/>
    </xf>
    <xf numFmtId="5" fontId="2" fillId="0" borderId="1" xfId="0" applyNumberFormat="1" applyFont="1" applyBorder="1"/>
    <xf numFmtId="1" fontId="0" fillId="0" borderId="1" xfId="0" applyNumberFormat="1" applyBorder="1"/>
    <xf numFmtId="5" fontId="3" fillId="0" borderId="1" xfId="0" applyNumberFormat="1" applyFont="1" applyBorder="1"/>
    <xf numFmtId="0" fontId="4" fillId="0" borderId="0" xfId="0" applyFont="1"/>
    <xf numFmtId="5" fontId="3" fillId="0" borderId="0" xfId="0" applyNumberFormat="1" applyFont="1" applyAlignment="1">
      <alignment horizontal="left"/>
    </xf>
    <xf numFmtId="10" fontId="3" fillId="0" borderId="0" xfId="0" applyNumberFormat="1" applyFont="1"/>
    <xf numFmtId="5" fontId="2" fillId="0" borderId="0" xfId="0" applyNumberFormat="1" applyFont="1"/>
    <xf numFmtId="10" fontId="0" fillId="0" borderId="0" xfId="0" applyNumberFormat="1" applyAlignment="1">
      <alignment horizontal="right"/>
    </xf>
    <xf numFmtId="5" fontId="3" fillId="0" borderId="0" xfId="0" applyNumberFormat="1" applyFont="1"/>
    <xf numFmtId="3" fontId="0" fillId="0" borderId="0" xfId="0" applyNumberFormat="1"/>
    <xf numFmtId="7" fontId="2" fillId="0" borderId="0" xfId="0" applyNumberFormat="1" applyFont="1"/>
    <xf numFmtId="10" fontId="2" fillId="0" borderId="0" xfId="0" applyNumberFormat="1" applyFont="1"/>
    <xf numFmtId="5" fontId="2" fillId="0" borderId="1" xfId="0" applyNumberFormat="1" applyFont="1" applyBorder="1" applyAlignment="1">
      <alignment horizontal="fill"/>
    </xf>
    <xf numFmtId="5" fontId="2" fillId="0" borderId="0" xfId="0" applyNumberFormat="1" applyFont="1" applyAlignment="1">
      <alignment horizontal="right"/>
    </xf>
    <xf numFmtId="7" fontId="0" fillId="0" borderId="0" xfId="0" applyNumberFormat="1"/>
    <xf numFmtId="0" fontId="2" fillId="0" borderId="0" xfId="0" applyFont="1"/>
    <xf numFmtId="2" fontId="4" fillId="0" borderId="0" xfId="0" applyNumberFormat="1" applyFont="1"/>
    <xf numFmtId="5" fontId="5" fillId="0" borderId="0" xfId="0" applyNumberFormat="1" applyFont="1"/>
    <xf numFmtId="5" fontId="1" fillId="0" borderId="0" xfId="0" applyNumberFormat="1" applyFont="1"/>
    <xf numFmtId="5" fontId="0" fillId="0" borderId="1" xfId="0" applyNumberFormat="1" applyBorder="1" applyAlignment="1">
      <alignment horizontal="right"/>
    </xf>
    <xf numFmtId="5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7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'CAE model 1.1'!$I$102:$V$102</c:f>
              <c:numCache>
                <c:formatCode>0.00</c:formatCode>
                <c:ptCount val="14"/>
                <c:pt idx="0">
                  <c:v>2.300948232589906</c:v>
                </c:pt>
                <c:pt idx="1">
                  <c:v>1.928294758601974</c:v>
                </c:pt>
                <c:pt idx="2">
                  <c:v>1.319374134253175</c:v>
                </c:pt>
                <c:pt idx="3">
                  <c:v>1.344803438940073</c:v>
                </c:pt>
                <c:pt idx="4">
                  <c:v>2.05070240890179</c:v>
                </c:pt>
                <c:pt idx="5">
                  <c:v>1.842294248654445</c:v>
                </c:pt>
                <c:pt idx="6">
                  <c:v>1.796160507673306</c:v>
                </c:pt>
                <c:pt idx="7">
                  <c:v>1.414749262536873</c:v>
                </c:pt>
                <c:pt idx="8">
                  <c:v>1.562315962473464</c:v>
                </c:pt>
                <c:pt idx="9">
                  <c:v>1.644327165887995</c:v>
                </c:pt>
                <c:pt idx="10">
                  <c:v>1.36454779462695</c:v>
                </c:pt>
                <c:pt idx="11">
                  <c:v>1.084040224999548</c:v>
                </c:pt>
                <c:pt idx="12">
                  <c:v>0.810039354683672</c:v>
                </c:pt>
                <c:pt idx="13">
                  <c:v>0.934401853329469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0385192"/>
        <c:axId val="930899032"/>
      </c:barChart>
      <c:catAx>
        <c:axId val="9303851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899032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930899032"/>
        <c:scaling>
          <c:orientation val="minMax"/>
        </c:scaling>
        <c:delete val="0"/>
        <c:axPos val="l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3851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0512680"/>
        <c:axId val="930516824"/>
      </c:barChart>
      <c:catAx>
        <c:axId val="93051268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516824"/>
        <c:crosses val="autoZero"/>
        <c:auto val="0"/>
        <c:lblAlgn val="ctr"/>
        <c:lblOffset val="100"/>
        <c:tickMarkSkip val="1"/>
        <c:noMultiLvlLbl val="0"/>
      </c:catAx>
      <c:valAx>
        <c:axId val="93051682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5126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Total Liabilities / Equity</a:t>
            </a:r>
          </a:p>
        </c:rich>
      </c:tx>
      <c:layout>
        <c:manualLayout>
          <c:xMode val="edge"/>
          <c:yMode val="edge"/>
          <c:x val="0.30028297459799"/>
          <c:y val="0.046511583893925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45763040675"/>
          <c:y val="0.379844601800393"/>
          <c:w val="0.821528892768085"/>
          <c:h val="0.3255810872574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'CAE model 1.1'!$N$102:$X$102</c:f>
              <c:numCache>
                <c:formatCode>0.00</c:formatCode>
                <c:ptCount val="11"/>
                <c:pt idx="0">
                  <c:v>1.842294248654445</c:v>
                </c:pt>
                <c:pt idx="1">
                  <c:v>1.796160507673306</c:v>
                </c:pt>
                <c:pt idx="2">
                  <c:v>1.414749262536873</c:v>
                </c:pt>
                <c:pt idx="3">
                  <c:v>1.562315962473464</c:v>
                </c:pt>
                <c:pt idx="4">
                  <c:v>1.644327165887995</c:v>
                </c:pt>
                <c:pt idx="5">
                  <c:v>1.36454779462695</c:v>
                </c:pt>
                <c:pt idx="6">
                  <c:v>1.084040224999548</c:v>
                </c:pt>
                <c:pt idx="7">
                  <c:v>0.810039354683672</c:v>
                </c:pt>
                <c:pt idx="8">
                  <c:v>0.934401853329469</c:v>
                </c:pt>
                <c:pt idx="9">
                  <c:v>1.236766841555916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987736"/>
        <c:axId val="930993800"/>
      </c:lineChart>
      <c:catAx>
        <c:axId val="9309877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993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0993800"/>
        <c:scaling>
          <c:orientation val="minMax"/>
        </c:scaling>
        <c:delete val="0"/>
        <c:axPos val="l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987736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CAE Sales and Equity</a:t>
            </a:r>
          </a:p>
        </c:rich>
      </c:tx>
      <c:layout>
        <c:manualLayout>
          <c:xMode val="edge"/>
          <c:yMode val="edge"/>
          <c:x val="0.398703640210103"/>
          <c:y val="0.034482790876054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53903986993"/>
          <c:y val="0.206896745256324"/>
          <c:w val="0.670989053036516"/>
          <c:h val="0.582376023684469"/>
        </c:manualLayout>
      </c:layout>
      <c:barChart>
        <c:barDir val="col"/>
        <c:grouping val="clustered"/>
        <c:varyColors val="1"/>
        <c:ser>
          <c:idx val="1"/>
          <c:order val="0"/>
          <c:spPr>
            <a:solidFill>
              <a:srgbClr val="1FB71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D080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58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4EE25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6711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EA74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86535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A2BD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63AAFE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DD2D3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FFF58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4EE25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'CAE model 1.1'!$F$10:$W$10</c:f>
              <c:strCache>
                <c:ptCount val="18"/>
                <c:pt idx="0">
                  <c:v>1994</c:v>
                </c:pt>
                <c:pt idx="1">
                  <c:v>1993</c:v>
                </c:pt>
                <c:pt idx="2">
                  <c:v>1992</c:v>
                </c:pt>
                <c:pt idx="3">
                  <c:v>1991</c:v>
                </c:pt>
                <c:pt idx="4">
                  <c:v>1990</c:v>
                </c:pt>
                <c:pt idx="5">
                  <c:v>1989</c:v>
                </c:pt>
                <c:pt idx="6">
                  <c:v>1988s</c:v>
                </c:pt>
                <c:pt idx="7">
                  <c:v>1988</c:v>
                </c:pt>
                <c:pt idx="8">
                  <c:v>1987</c:v>
                </c:pt>
                <c:pt idx="9">
                  <c:v>1986</c:v>
                </c:pt>
                <c:pt idx="10">
                  <c:v>1985</c:v>
                </c:pt>
                <c:pt idx="11">
                  <c:v>1984</c:v>
                </c:pt>
                <c:pt idx="12">
                  <c:v>1983</c:v>
                </c:pt>
                <c:pt idx="13">
                  <c:v>1982</c:v>
                </c:pt>
                <c:pt idx="14">
                  <c:v>1981</c:v>
                </c:pt>
                <c:pt idx="15">
                  <c:v>1980</c:v>
                </c:pt>
                <c:pt idx="16">
                  <c:v>1979</c:v>
                </c:pt>
                <c:pt idx="17">
                  <c:v>1978</c:v>
                </c:pt>
              </c:strCache>
            </c:strRef>
          </c:cat>
          <c:val>
            <c:numRef>
              <c:f>'CAE model 1.1'!$F$70:$W$70</c:f>
              <c:numCache>
                <c:formatCode>"$"#,##0_);\("$"#,##0\)</c:formatCode>
                <c:ptCount val="18"/>
                <c:pt idx="0">
                  <c:v>3.95475968E6</c:v>
                </c:pt>
                <c:pt idx="1">
                  <c:v>3.93848954E6</c:v>
                </c:pt>
                <c:pt idx="2" formatCode="General">
                  <c:v>3.508274E6</c:v>
                </c:pt>
                <c:pt idx="3">
                  <c:v>3.64573E6</c:v>
                </c:pt>
                <c:pt idx="4">
                  <c:v>3.080514E6</c:v>
                </c:pt>
                <c:pt idx="5">
                  <c:v>2.393165E6</c:v>
                </c:pt>
                <c:pt idx="6">
                  <c:v>1.792878E6</c:v>
                </c:pt>
                <c:pt idx="7">
                  <c:v>600149.0</c:v>
                </c:pt>
                <c:pt idx="8">
                  <c:v>387944.0</c:v>
                </c:pt>
                <c:pt idx="9">
                  <c:v>281756.0</c:v>
                </c:pt>
                <c:pt idx="10">
                  <c:v>376290.0</c:v>
                </c:pt>
                <c:pt idx="11">
                  <c:v>292060.0</c:v>
                </c:pt>
                <c:pt idx="12">
                  <c:v>290666.0</c:v>
                </c:pt>
                <c:pt idx="13">
                  <c:v>310401.0</c:v>
                </c:pt>
                <c:pt idx="14">
                  <c:v>221156.0</c:v>
                </c:pt>
                <c:pt idx="15">
                  <c:v>281304.9333333333</c:v>
                </c:pt>
                <c:pt idx="16">
                  <c:v>185525.5666666667</c:v>
                </c:pt>
                <c:pt idx="17">
                  <c:v>124358.0666666667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0596824"/>
        <c:axId val="93060311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'CAE model 1.1'!$F$10:$W$10</c:f>
              <c:strCache>
                <c:ptCount val="18"/>
                <c:pt idx="0">
                  <c:v>1994</c:v>
                </c:pt>
                <c:pt idx="1">
                  <c:v>1993</c:v>
                </c:pt>
                <c:pt idx="2">
                  <c:v>1992</c:v>
                </c:pt>
                <c:pt idx="3">
                  <c:v>1991</c:v>
                </c:pt>
                <c:pt idx="4">
                  <c:v>1990</c:v>
                </c:pt>
                <c:pt idx="5">
                  <c:v>1989</c:v>
                </c:pt>
                <c:pt idx="6">
                  <c:v>1988s</c:v>
                </c:pt>
                <c:pt idx="7">
                  <c:v>1988</c:v>
                </c:pt>
                <c:pt idx="8">
                  <c:v>1987</c:v>
                </c:pt>
                <c:pt idx="9">
                  <c:v>1986</c:v>
                </c:pt>
                <c:pt idx="10">
                  <c:v>1985</c:v>
                </c:pt>
                <c:pt idx="11">
                  <c:v>1984</c:v>
                </c:pt>
                <c:pt idx="12">
                  <c:v>1983</c:v>
                </c:pt>
                <c:pt idx="13">
                  <c:v>1982</c:v>
                </c:pt>
                <c:pt idx="14">
                  <c:v>1981</c:v>
                </c:pt>
                <c:pt idx="15">
                  <c:v>1980</c:v>
                </c:pt>
                <c:pt idx="16">
                  <c:v>1979</c:v>
                </c:pt>
                <c:pt idx="17">
                  <c:v>1978</c:v>
                </c:pt>
              </c:strCache>
            </c:strRef>
          </c:cat>
          <c:val>
            <c:numRef>
              <c:f>'CAE model 1.1'!$F$12:$W$12</c:f>
              <c:numCache>
                <c:formatCode>"$"#,##0_);\("$"#,##0\)</c:formatCode>
                <c:ptCount val="18"/>
                <c:pt idx="0">
                  <c:v>1.884443379E7</c:v>
                </c:pt>
                <c:pt idx="1">
                  <c:v>1.6405012E7</c:v>
                </c:pt>
                <c:pt idx="2">
                  <c:v>1.6110818E7</c:v>
                </c:pt>
                <c:pt idx="3">
                  <c:v>1.4018358E7</c:v>
                </c:pt>
                <c:pt idx="4">
                  <c:v>1.0710355E7</c:v>
                </c:pt>
                <c:pt idx="5">
                  <c:v>8.156183E6</c:v>
                </c:pt>
                <c:pt idx="6">
                  <c:v>6.605757E6</c:v>
                </c:pt>
                <c:pt idx="7">
                  <c:v>3.637713E6</c:v>
                </c:pt>
                <c:pt idx="8">
                  <c:v>2.714572E6</c:v>
                </c:pt>
                <c:pt idx="9">
                  <c:v>2.517225E6</c:v>
                </c:pt>
                <c:pt idx="10">
                  <c:v>2.344941E6</c:v>
                </c:pt>
                <c:pt idx="11">
                  <c:v>1.712528E6</c:v>
                </c:pt>
                <c:pt idx="12">
                  <c:v>1.477509E6</c:v>
                </c:pt>
                <c:pt idx="13">
                  <c:v>1.686887E6</c:v>
                </c:pt>
                <c:pt idx="14">
                  <c:v>1.044158E6</c:v>
                </c:pt>
                <c:pt idx="15">
                  <c:v>1.157102E6</c:v>
                </c:pt>
                <c:pt idx="16">
                  <c:v>825253.0</c:v>
                </c:pt>
                <c:pt idx="17">
                  <c:v>871438.0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182136"/>
        <c:axId val="930367640"/>
      </c:lineChart>
      <c:catAx>
        <c:axId val="9305968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603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0603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Equity</a:t>
                </a:r>
              </a:p>
            </c:rich>
          </c:tx>
          <c:layout>
            <c:manualLayout>
              <c:xMode val="edge"/>
              <c:yMode val="edge"/>
              <c:x val="0.0210697045639486"/>
              <c:y val="0.432950596554901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_);\(&quot;$&quot;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596824"/>
        <c:crosses val="autoZero"/>
        <c:crossBetween val="between"/>
      </c:valAx>
      <c:catAx>
        <c:axId val="930182136"/>
        <c:scaling>
          <c:orientation val="minMax"/>
        </c:scaling>
        <c:delete val="1"/>
        <c:axPos val="b"/>
        <c:majorTickMark val="out"/>
        <c:minorTickMark val="none"/>
        <c:tickLblPos val="nextTo"/>
        <c:crossAx val="930367640"/>
        <c:crosses val="autoZero"/>
        <c:auto val="0"/>
        <c:lblAlgn val="ctr"/>
        <c:lblOffset val="100"/>
        <c:noMultiLvlLbl val="0"/>
      </c:catAx>
      <c:valAx>
        <c:axId val="93036764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Annual Sales</a:t>
                </a:r>
              </a:p>
            </c:rich>
          </c:tx>
          <c:layout>
            <c:manualLayout>
              <c:xMode val="edge"/>
              <c:yMode val="edge"/>
              <c:x val="0.952998944892442"/>
              <c:y val="0.371647857219694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_);\(&quot;$&quot;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182136"/>
        <c:crosses val="max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rPr lang="en-US"/>
              <a:t>CAE Annual Sales</a:t>
            </a:r>
          </a:p>
        </c:rich>
      </c:tx>
      <c:layout>
        <c:manualLayout>
          <c:xMode val="edge"/>
          <c:yMode val="edge"/>
          <c:x val="0.411663635499456"/>
          <c:y val="0.039603984329063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102840531012"/>
          <c:y val="0.25742589813891"/>
          <c:w val="0.801028824076024"/>
          <c:h val="0.47029731390762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DD080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rgbClr val="1FB71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0000D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FCF305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20884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00ABEA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9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006411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F58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4EE25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6711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FEA74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865357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A2BD9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63AAFE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DD2D32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'CAE model 1.1'!$H$10:$W$10</c:f>
              <c:strCache>
                <c:ptCount val="16"/>
                <c:pt idx="0">
                  <c:v>1992</c:v>
                </c:pt>
                <c:pt idx="1">
                  <c:v>1991</c:v>
                </c:pt>
                <c:pt idx="2">
                  <c:v>1990</c:v>
                </c:pt>
                <c:pt idx="3">
                  <c:v>1989</c:v>
                </c:pt>
                <c:pt idx="4">
                  <c:v>1988s</c:v>
                </c:pt>
                <c:pt idx="5">
                  <c:v>1988</c:v>
                </c:pt>
                <c:pt idx="6">
                  <c:v>1987</c:v>
                </c:pt>
                <c:pt idx="7">
                  <c:v>1986</c:v>
                </c:pt>
                <c:pt idx="8">
                  <c:v>1985</c:v>
                </c:pt>
                <c:pt idx="9">
                  <c:v>1984</c:v>
                </c:pt>
                <c:pt idx="10">
                  <c:v>1983</c:v>
                </c:pt>
                <c:pt idx="11">
                  <c:v>1982</c:v>
                </c:pt>
                <c:pt idx="12">
                  <c:v>1981</c:v>
                </c:pt>
                <c:pt idx="13">
                  <c:v>1980</c:v>
                </c:pt>
                <c:pt idx="14">
                  <c:v>1979</c:v>
                </c:pt>
                <c:pt idx="15">
                  <c:v>1978</c:v>
                </c:pt>
              </c:strCache>
            </c:strRef>
          </c:cat>
          <c:val>
            <c:numRef>
              <c:f>'CAE model 1.1'!$H$12:$W$12</c:f>
              <c:numCache>
                <c:formatCode>"$"#,##0_);\("$"#,##0\)</c:formatCode>
                <c:ptCount val="16"/>
                <c:pt idx="0">
                  <c:v>1.6110818E7</c:v>
                </c:pt>
                <c:pt idx="1">
                  <c:v>1.4018358E7</c:v>
                </c:pt>
                <c:pt idx="2">
                  <c:v>1.0710355E7</c:v>
                </c:pt>
                <c:pt idx="3">
                  <c:v>8.156183E6</c:v>
                </c:pt>
                <c:pt idx="4">
                  <c:v>6.605757E6</c:v>
                </c:pt>
                <c:pt idx="5">
                  <c:v>3.637713E6</c:v>
                </c:pt>
                <c:pt idx="6">
                  <c:v>2.714572E6</c:v>
                </c:pt>
                <c:pt idx="7">
                  <c:v>2.517225E6</c:v>
                </c:pt>
                <c:pt idx="8">
                  <c:v>2.344941E6</c:v>
                </c:pt>
                <c:pt idx="9">
                  <c:v>1.712528E6</c:v>
                </c:pt>
                <c:pt idx="10">
                  <c:v>1.477509E6</c:v>
                </c:pt>
                <c:pt idx="11">
                  <c:v>1.686887E6</c:v>
                </c:pt>
                <c:pt idx="12">
                  <c:v>1.044158E6</c:v>
                </c:pt>
                <c:pt idx="13">
                  <c:v>1.157102E6</c:v>
                </c:pt>
                <c:pt idx="14">
                  <c:v>825253.0</c:v>
                </c:pt>
                <c:pt idx="15">
                  <c:v>871438.0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0656872"/>
        <c:axId val="930660888"/>
      </c:barChart>
      <c:catAx>
        <c:axId val="930656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660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0660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Equity</a:t>
                </a:r>
              </a:p>
            </c:rich>
          </c:tx>
          <c:layout>
            <c:manualLayout>
              <c:xMode val="edge"/>
              <c:yMode val="edge"/>
              <c:x val="0.0222984469228872"/>
              <c:y val="0.405940839372897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_);\(&quot;$&quot;#,##0\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306568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 orientation="portrait" horizontalDpi="-4" verticalDpi="-4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241300</xdr:colOff>
      <xdr:row>101</xdr:row>
      <xdr:rowOff>12700</xdr:rowOff>
    </xdr:from>
    <xdr:to>
      <xdr:col>15</xdr:col>
      <xdr:colOff>254000</xdr:colOff>
      <xdr:row>101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508000</xdr:colOff>
      <xdr:row>101</xdr:row>
      <xdr:rowOff>88900</xdr:rowOff>
    </xdr:from>
    <xdr:to>
      <xdr:col>12</xdr:col>
      <xdr:colOff>571500</xdr:colOff>
      <xdr:row>101</xdr:row>
      <xdr:rowOff>101600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660400</xdr:colOff>
      <xdr:row>137</xdr:row>
      <xdr:rowOff>0</xdr:rowOff>
    </xdr:from>
    <xdr:to>
      <xdr:col>22</xdr:col>
      <xdr:colOff>977900</xdr:colOff>
      <xdr:row>146</xdr:row>
      <xdr:rowOff>152400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132</xdr:row>
      <xdr:rowOff>0</xdr:rowOff>
    </xdr:from>
    <xdr:to>
      <xdr:col>9</xdr:col>
      <xdr:colOff>1092200</xdr:colOff>
      <xdr:row>152</xdr:row>
      <xdr:rowOff>12700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12700</xdr:colOff>
      <xdr:row>134</xdr:row>
      <xdr:rowOff>50800</xdr:rowOff>
    </xdr:from>
    <xdr:to>
      <xdr:col>15</xdr:col>
      <xdr:colOff>787400</xdr:colOff>
      <xdr:row>149</xdr:row>
      <xdr:rowOff>139700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0.34133</cdr:x>
      <cdr:y>0.27096</cdr:y>
    </cdr:from>
    <cdr:to>
      <cdr:x>0.42548</cdr:x>
      <cdr:y>0.34343</cdr:y>
    </cdr:to>
    <cdr:sp macro="" textlink="">
      <cdr:nvSpPr>
        <cdr:cNvPr id="512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78970" y="901605"/>
          <a:ext cx="660432" cy="2411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" cmpd="sng">
          <a:solidFill>
            <a:srgbClr val="000000"/>
          </a:solidFill>
          <a:prstDash val="solid"/>
          <a:round/>
          <a:headEnd/>
          <a:tailEnd type="triangle" w="med" len="sm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0.37218</cdr:x>
      <cdr:y>0.22903</cdr:y>
    </cdr:from>
    <cdr:to>
      <cdr:x>0.64559</cdr:x>
      <cdr:y>0.29762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1064" y="762089"/>
          <a:ext cx="2145919" cy="22822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Accumulated Equity</a:t>
          </a:r>
        </a:p>
      </cdr:txBody>
    </cdr:sp>
  </cdr:relSizeAnchor>
  <cdr:relSizeAnchor xmlns:cdr="http://schemas.openxmlformats.org/drawingml/2006/chartDrawing">
    <cdr:from>
      <cdr:x>0.41906</cdr:x>
      <cdr:y>0.47722</cdr:y>
    </cdr:from>
    <cdr:to>
      <cdr:x>0.52591</cdr:x>
      <cdr:y>0.6144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89046" y="1587894"/>
          <a:ext cx="838613" cy="4564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" cmpd="sng">
          <a:solidFill>
            <a:srgbClr val="000000"/>
          </a:solidFill>
          <a:prstDash val="solid"/>
          <a:round/>
          <a:headEnd/>
          <a:tailEnd type="triangle" w="med" len="sm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0.54195</cdr:x>
      <cdr:y>0.43141</cdr:y>
    </cdr:from>
    <cdr:to>
      <cdr:x>0.6488</cdr:x>
      <cdr:y>0.49612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3548" y="1435475"/>
          <a:ext cx="838612" cy="2153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Annual Sales</a:t>
          </a:r>
        </a:p>
      </cdr:txBody>
    </cdr:sp>
  </cdr:relSizeAnchor>
  <cdr:relSizeAnchor xmlns:cdr="http://schemas.openxmlformats.org/drawingml/2006/chartDrawing">
    <cdr:from>
      <cdr:x>0.29445</cdr:x>
      <cdr:y>0.36646</cdr:y>
    </cdr:from>
    <cdr:to>
      <cdr:x>0.32208</cdr:x>
      <cdr:y>0.58386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0987" y="1219346"/>
          <a:ext cx="216916" cy="7233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vert="vert270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Annualized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0.44526</cdr:x>
      <cdr:y>0.46806</cdr:y>
    </cdr:from>
    <cdr:to>
      <cdr:x>0.56682</cdr:x>
      <cdr:y>0.58117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02406" y="1206706"/>
          <a:ext cx="901599" cy="2916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" cmpd="sng">
          <a:solidFill>
            <a:srgbClr val="000000"/>
          </a:solidFill>
          <a:prstDash val="solid"/>
          <a:round/>
          <a:headEnd/>
          <a:tailEnd type="triangle" w="med" len="sm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0.57027</cdr:x>
      <cdr:y>0.40394</cdr:y>
    </cdr:from>
    <cdr:to>
      <cdr:x>0.68321</cdr:x>
      <cdr:y>0.48775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29608" y="1041400"/>
          <a:ext cx="837590" cy="21607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Annual Sales</a:t>
          </a:r>
        </a:p>
      </cdr:txBody>
    </cdr:sp>
  </cdr:relSizeAnchor>
  <cdr:relSizeAnchor xmlns:cdr="http://schemas.openxmlformats.org/drawingml/2006/chartDrawing">
    <cdr:from>
      <cdr:x>0.39052</cdr:x>
      <cdr:y>0.42363</cdr:y>
    </cdr:from>
    <cdr:to>
      <cdr:x>0.41962</cdr:x>
      <cdr:y>0.70437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413" y="1092168"/>
          <a:ext cx="215798" cy="7237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vert="vert270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Annualized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showZeros="0" tabSelected="1" defaultGridColor="0" colorId="11" workbookViewId="0">
      <pane xSplit="1" ySplit="11" topLeftCell="B12" activePane="bottomRight" state="frozenSplit"/>
      <selection activeCell="A7" sqref="A7:XFD8"/>
      <selection pane="topRight" activeCell="F1" sqref="F1:F1048576"/>
      <selection pane="bottomLeft" activeCell="A124" sqref="A124:XFD124"/>
      <selection pane="bottomRight" activeCell="A23" sqref="A23:XFD23"/>
    </sheetView>
  </sheetViews>
  <sheetFormatPr baseColWidth="10" defaultRowHeight="13" x14ac:dyDescent="0"/>
  <cols>
    <col min="1" max="1" width="21" customWidth="1"/>
    <col min="2" max="2" width="11.7109375" style="6" customWidth="1"/>
    <col min="3" max="3" width="9.28515625" customWidth="1"/>
    <col min="4" max="4" width="9.5703125" customWidth="1"/>
    <col min="5" max="5" width="12.28515625" style="6" customWidth="1"/>
    <col min="6" max="6" width="14.5703125" style="35" customWidth="1"/>
    <col min="7" max="7" width="12.28515625" style="35" customWidth="1"/>
    <col min="8" max="8" width="13.7109375" customWidth="1"/>
    <col min="9" max="9" width="13.42578125" style="35" customWidth="1"/>
    <col min="10" max="10" width="14.140625" style="33" customWidth="1"/>
    <col min="11" max="11" width="13.140625" style="33" customWidth="1"/>
    <col min="12" max="12" width="12.140625" style="6" customWidth="1"/>
    <col min="13" max="14" width="11.7109375" style="6" customWidth="1"/>
    <col min="15" max="15" width="11.7109375" style="20" customWidth="1"/>
    <col min="16" max="23" width="11.7109375" style="6" customWidth="1"/>
    <col min="24" max="25" width="11.7109375" customWidth="1"/>
    <col min="26" max="27" width="11.7109375" style="6" customWidth="1"/>
    <col min="28" max="254" width="11.7109375" customWidth="1"/>
    <col min="257" max="304" width="10.7109375" customWidth="1"/>
    <col min="310" max="312" width="10.7109375" customWidth="1"/>
    <col min="314" max="323" width="10.7109375" customWidth="1"/>
    <col min="327" max="337" width="10.7109375" customWidth="1"/>
    <col min="339" max="339" width="10.7109375" customWidth="1"/>
    <col min="343" max="353" width="10.7109375" customWidth="1"/>
    <col min="355" max="356" width="10.7109375" customWidth="1"/>
    <col min="358" max="358" width="10.7109375" customWidth="1"/>
    <col min="360" max="368" width="10.7109375" customWidth="1"/>
    <col min="370" max="372" width="10.7109375" customWidth="1"/>
    <col min="375" max="388" width="10.7109375" customWidth="1"/>
    <col min="391" max="400" width="10.7109375" customWidth="1"/>
    <col min="403" max="406" width="10.7109375" customWidth="1"/>
    <col min="408" max="417" width="10.7109375" customWidth="1"/>
    <col min="419" max="420" width="10.7109375" customWidth="1"/>
    <col min="423" max="432" width="10.7109375" customWidth="1"/>
    <col min="435" max="436" width="10.7109375" customWidth="1"/>
    <col min="439" max="448" width="10.7109375" customWidth="1"/>
    <col min="450" max="452" width="10.7109375" customWidth="1"/>
    <col min="455" max="491" width="10.7109375" customWidth="1"/>
    <col min="494" max="504" width="10.7109375" customWidth="1"/>
    <col min="506" max="512" width="10.7109375" customWidth="1"/>
    <col min="516" max="517" width="10.7109375" customWidth="1"/>
    <col min="519" max="520" width="10.7109375" customWidth="1"/>
    <col min="525" max="536" width="10.7109375" customWidth="1"/>
    <col min="538" max="552" width="10.7109375" customWidth="1"/>
    <col min="554" max="568" width="10.7109375" customWidth="1"/>
    <col min="577" max="581" width="10.7109375" customWidth="1"/>
    <col min="583" max="585" width="10.7109375" customWidth="1"/>
    <col min="587" max="587" width="10.7109375" customWidth="1"/>
    <col min="589" max="590" width="10.7109375" customWidth="1"/>
    <col min="592" max="664" width="10.7109375" customWidth="1"/>
    <col min="666" max="682" width="10.7109375" customWidth="1"/>
    <col min="684" max="685" width="10.7109375" customWidth="1"/>
    <col min="688" max="896" width="10.7109375" customWidth="1"/>
    <col min="898" max="904" width="10.7109375" customWidth="1"/>
    <col min="906" max="921" width="10.7109375" customWidth="1"/>
    <col min="923" max="928" width="10.7109375" customWidth="1"/>
    <col min="930" max="934" width="10.7109375" customWidth="1"/>
    <col min="936" max="1041" width="10.7109375" customWidth="1"/>
    <col min="1043" max="1043" width="10.7109375" customWidth="1"/>
    <col min="1045" max="1045" width="10.7109375" customWidth="1"/>
    <col min="1047" max="1047" width="10.7109375" customWidth="1"/>
    <col min="1049" max="1054" width="10.7109375" customWidth="1"/>
    <col min="1056" max="1057" width="10.7109375" customWidth="1"/>
    <col min="1060" max="1075" width="10.7109375" customWidth="1"/>
    <col min="1078" max="1078" width="10.7109375" customWidth="1"/>
    <col min="1080" max="1081" width="10.7109375" customWidth="1"/>
    <col min="1083" max="1083" width="10.7109375" customWidth="1"/>
    <col min="1085" max="1086" width="10.7109375" customWidth="1"/>
    <col min="1088" max="1088" width="10.7109375" customWidth="1"/>
    <col min="1103" max="1103" width="10.7109375" customWidth="1"/>
    <col min="1105" max="1105" width="10.7109375" customWidth="1"/>
    <col min="1109" max="1110" width="10.7109375" customWidth="1"/>
    <col min="1112" max="1112" width="10.7109375" customWidth="1"/>
    <col min="1119" max="1120" width="10.7109375" customWidth="1"/>
    <col min="1123" max="1123" width="10.7109375" customWidth="1"/>
    <col min="1125" max="1127" width="10.7109375" customWidth="1"/>
    <col min="1130" max="1130" width="10.7109375" customWidth="1"/>
    <col min="1132" max="1132" width="10.7109375" customWidth="1"/>
    <col min="1134" max="1135" width="10.7109375" customWidth="1"/>
    <col min="1137" max="1148" width="10.7109375" customWidth="1"/>
    <col min="1150" max="1150" width="10.7109375" customWidth="1"/>
    <col min="1153" max="1153" width="10.7109375" customWidth="1"/>
    <col min="1156" max="1156" width="10.7109375" customWidth="1"/>
    <col min="1158" max="1159" width="10.7109375" customWidth="1"/>
    <col min="1161" max="1161" width="10.7109375" customWidth="1"/>
    <col min="1164" max="1173" width="10.7109375" customWidth="1"/>
    <col min="1175" max="1175" width="10.7109375" customWidth="1"/>
    <col min="1177" max="1206" width="10.7109375" customWidth="1"/>
    <col min="1208" max="1212" width="10.7109375" customWidth="1"/>
    <col min="1214" max="1214" width="10.7109375" customWidth="1"/>
    <col min="1217" max="1217" width="10.7109375" customWidth="1"/>
    <col min="1220" max="1220" width="10.7109375" customWidth="1"/>
    <col min="1222" max="1223" width="10.7109375" customWidth="1"/>
    <col min="1225" max="1225" width="10.7109375" customWidth="1"/>
    <col min="1228" max="1237" width="10.7109375" customWidth="1"/>
    <col min="1239" max="1239" width="10.7109375" customWidth="1"/>
    <col min="1241" max="1241" width="10.7109375" customWidth="1"/>
    <col min="1243" max="1243" width="10.7109375" customWidth="1"/>
    <col min="1245" max="1246" width="10.7109375" customWidth="1"/>
    <col min="1248" max="1248" width="10.7109375" customWidth="1"/>
    <col min="1263" max="1263" width="10.7109375" customWidth="1"/>
    <col min="1265" max="1298" width="10.7109375" customWidth="1"/>
    <col min="1300" max="1307" width="10.7109375" customWidth="1"/>
    <col min="1309" max="1331" width="10.7109375" customWidth="1"/>
    <col min="1334" max="1338" width="10.7109375" customWidth="1"/>
    <col min="1340" max="1340" width="10.7109375" customWidth="1"/>
    <col min="1342" max="1342" width="10.7109375" customWidth="1"/>
    <col min="1344" max="1344" width="10.7109375" customWidth="1"/>
    <col min="1359" max="1359" width="10.7109375" customWidth="1"/>
    <col min="1361" max="1361" width="10.7109375" customWidth="1"/>
    <col min="1363" max="1364" width="10.7109375" customWidth="1"/>
    <col min="1371" max="1371" width="10.7109375" customWidth="1"/>
    <col min="1373" max="1376" width="10.7109375" customWidth="1"/>
    <col min="1379" max="1380" width="10.7109375" customWidth="1"/>
    <col min="1382" max="1383" width="10.7109375" customWidth="1"/>
    <col min="1386" max="1386" width="10.7109375" customWidth="1"/>
    <col min="1388" max="1388" width="10.7109375" customWidth="1"/>
    <col min="1390" max="1391" width="10.7109375" customWidth="1"/>
    <col min="1393" max="1395" width="10.7109375" customWidth="1"/>
    <col min="1397" max="1397" width="10.7109375" customWidth="1"/>
    <col min="1399" max="1399" width="10.7109375" customWidth="1"/>
    <col min="1403" max="1404" width="10.7109375" customWidth="1"/>
    <col min="1406" max="1406" width="10.7109375" customWidth="1"/>
    <col min="1408" max="1408" width="10.7109375" customWidth="1"/>
    <col min="1423" max="1423" width="10.7109375" customWidth="1"/>
    <col min="1425" max="1429" width="10.7109375" customWidth="1"/>
    <col min="1431" max="1431" width="10.7109375" customWidth="1"/>
    <col min="1433" max="1433" width="10.7109375" customWidth="1"/>
    <col min="1435" max="1435" width="10.7109375" customWidth="1"/>
    <col min="1437" max="1438" width="10.7109375" customWidth="1"/>
    <col min="1440" max="1440" width="10.7109375" customWidth="1"/>
    <col min="1455" max="1455" width="10.7109375" customWidth="1"/>
    <col min="1457" max="1460" width="10.7109375" customWidth="1"/>
    <col min="1462" max="1462" width="10.7109375" customWidth="1"/>
    <col min="1465" max="1465" width="10.7109375" customWidth="1"/>
    <col min="1467" max="1469" width="10.7109375" customWidth="1"/>
    <col min="1472" max="1472" width="10.7109375" customWidth="1"/>
    <col min="1487" max="1487" width="10.7109375" customWidth="1"/>
    <col min="1489" max="1552" width="10.7109375" customWidth="1"/>
    <col min="1555" max="1596" width="10.7109375" customWidth="1"/>
    <col min="1599" max="1599" width="10.7109375" customWidth="1"/>
    <col min="1601" max="1601" width="10.7109375" customWidth="1"/>
    <col min="1603" max="1604" width="10.7109375" customWidth="1"/>
    <col min="1606" max="1607" width="10.7109375" customWidth="1"/>
    <col min="1609" max="1609" width="10.7109375" customWidth="1"/>
    <col min="1612" max="1616" width="10.7109375" customWidth="1"/>
    <col min="1619" max="1632" width="10.7109375" customWidth="1"/>
    <col min="1649" max="1657" width="10.7109375" customWidth="1"/>
    <col min="1659" max="1659" width="10.7109375" customWidth="1"/>
    <col min="1661" max="1661" width="10.7109375" customWidth="1"/>
    <col min="1665" max="1665" width="10.7109375" customWidth="1"/>
    <col min="1667" max="1668" width="10.7109375" customWidth="1"/>
    <col min="1670" max="1671" width="10.7109375" customWidth="1"/>
    <col min="1673" max="1673" width="10.7109375" customWidth="1"/>
    <col min="1676" max="1701" width="10.7109375" customWidth="1"/>
    <col min="1704" max="1706" width="10.7109375" customWidth="1"/>
    <col min="1709" max="1709" width="10.7109375" customWidth="1"/>
    <col min="1711" max="1717" width="10.7109375" customWidth="1"/>
    <col min="1719" max="1719" width="10.7109375" customWidth="1"/>
    <col min="1722" max="1723" width="10.7109375" customWidth="1"/>
    <col min="1727" max="1728" width="10.7109375" customWidth="1"/>
    <col min="1730" max="1731" width="10.7109375" customWidth="1"/>
    <col min="1733" max="1733" width="10.7109375" customWidth="1"/>
    <col min="1736" max="1738" width="10.7109375" customWidth="1"/>
    <col min="1741" max="1741" width="10.7109375" customWidth="1"/>
    <col min="1743" max="1744" width="10.7109375" customWidth="1"/>
    <col min="1747" max="1749" width="10.7109375" customWidth="1"/>
    <col min="1751" max="1752" width="10.7109375" customWidth="1"/>
    <col min="1754" max="1755" width="10.7109375" customWidth="1"/>
    <col min="1761" max="1761" width="10.7109375" customWidth="1"/>
    <col min="1765" max="1765" width="10.7109375" customWidth="1"/>
    <col min="1767" max="1767" width="10.7109375" customWidth="1"/>
    <col min="1769" max="1772" width="10.7109375" customWidth="1"/>
    <col min="1774" max="1775" width="10.7109375" customWidth="1"/>
    <col min="1777" max="1782" width="10.7109375" customWidth="1"/>
    <col min="1784" max="1820" width="10.7109375" customWidth="1"/>
    <col min="1823" max="1823" width="10.7109375" customWidth="1"/>
    <col min="1825" max="1825" width="10.7109375" customWidth="1"/>
    <col min="1827" max="1828" width="10.7109375" customWidth="1"/>
    <col min="1830" max="1831" width="10.7109375" customWidth="1"/>
    <col min="1833" max="1833" width="10.7109375" customWidth="1"/>
    <col min="1836" max="1843" width="10.7109375" customWidth="1"/>
    <col min="1847" max="1848" width="10.7109375" customWidth="1"/>
    <col min="1851" max="1851" width="10.7109375" customWidth="1"/>
    <col min="1853" max="1854" width="10.7109375" customWidth="1"/>
    <col min="1856" max="1856" width="10.7109375" customWidth="1"/>
    <col min="1871" max="1871" width="10.7109375" customWidth="1"/>
    <col min="1874" max="1877" width="10.7109375" customWidth="1"/>
    <col min="1879" max="1880" width="10.7109375" customWidth="1"/>
    <col min="1882" max="1883" width="10.7109375" customWidth="1"/>
    <col min="1885" max="1887" width="10.7109375" customWidth="1"/>
    <col min="1891" max="1891" width="10.7109375" customWidth="1"/>
    <col min="1893" max="1893" width="10.7109375" customWidth="1"/>
    <col min="1895" max="1895" width="10.7109375" customWidth="1"/>
    <col min="1897" max="1900" width="10.7109375" customWidth="1"/>
    <col min="1902" max="1903" width="10.7109375" customWidth="1"/>
    <col min="1905" max="1913" width="10.7109375" customWidth="1"/>
    <col min="1915" max="1915" width="10.7109375" customWidth="1"/>
    <col min="1917" max="1917" width="10.7109375" customWidth="1"/>
    <col min="1921" max="1921" width="10.7109375" customWidth="1"/>
    <col min="1923" max="1924" width="10.7109375" customWidth="1"/>
    <col min="1926" max="1927" width="10.7109375" customWidth="1"/>
    <col min="1929" max="1929" width="10.7109375" customWidth="1"/>
    <col min="1932" max="1937" width="10.7109375" customWidth="1"/>
    <col min="1939" max="1961" width="10.7109375" customWidth="1"/>
    <col min="1965" max="1968" width="10.7109375" customWidth="1"/>
    <col min="1970" max="2000" width="10.7109375" customWidth="1"/>
    <col min="2002" max="2003" width="10.7109375" customWidth="1"/>
    <col min="2005" max="2007" width="10.7109375" customWidth="1"/>
    <col min="2009" max="2009" width="10.7109375" customWidth="1"/>
    <col min="2011" max="2011" width="10.7109375" customWidth="1"/>
    <col min="2015" max="2017" width="10.7109375" customWidth="1"/>
    <col min="2019" max="2021" width="10.7109375" customWidth="1"/>
    <col min="2023" max="2023" width="10.7109375" customWidth="1"/>
    <col min="2025" max="2066" width="10.7109375" customWidth="1"/>
    <col min="2068" max="2071" width="10.7109375" customWidth="1"/>
    <col min="2073" max="2073" width="10.7109375" customWidth="1"/>
    <col min="2075" max="2075" width="10.7109375" customWidth="1"/>
    <col min="2079" max="2081" width="10.7109375" customWidth="1"/>
    <col min="2083" max="2085" width="10.7109375" customWidth="1"/>
    <col min="2087" max="2087" width="10.7109375" customWidth="1"/>
    <col min="2089" max="2131" width="10.7109375" customWidth="1"/>
    <col min="2134" max="2134" width="10.7109375" customWidth="1"/>
    <col min="2136" max="2138" width="10.7109375" customWidth="1"/>
    <col min="2141" max="2142" width="10.7109375" customWidth="1"/>
    <col min="2144" max="2144" width="10.7109375" customWidth="1"/>
    <col min="2147" max="2148" width="10.7109375" customWidth="1"/>
    <col min="2150" max="2150" width="10.7109375" customWidth="1"/>
    <col min="2152" max="2154" width="10.7109375" customWidth="1"/>
    <col min="2156" max="2156" width="10.7109375" customWidth="1"/>
    <col min="2159" max="2163" width="10.7109375" customWidth="1"/>
    <col min="2166" max="2166" width="10.7109375" customWidth="1"/>
    <col min="2168" max="2168" width="10.7109375" customWidth="1"/>
    <col min="2171" max="2174" width="10.7109375" customWidth="1"/>
    <col min="2176" max="2176" width="10.7109375" customWidth="1"/>
    <col min="2178" max="2178" width="10.7109375" customWidth="1"/>
    <col min="2180" max="2182" width="10.7109375" customWidth="1"/>
    <col min="2184" max="2186" width="10.7109375" customWidth="1"/>
    <col min="2189" max="2190" width="10.7109375" customWidth="1"/>
    <col min="2192" max="2192" width="10.7109375" customWidth="1"/>
    <col min="2194" max="2224" width="10.7109375" customWidth="1"/>
    <col min="2226" max="2228" width="10.7109375" customWidth="1"/>
    <col min="2230" max="2231" width="10.7109375" customWidth="1"/>
    <col min="2234" max="2234" width="10.7109375" customWidth="1"/>
    <col min="2236" max="2239" width="10.7109375" customWidth="1"/>
    <col min="2243" max="2243" width="10.7109375" customWidth="1"/>
    <col min="2245" max="2245" width="10.7109375" customWidth="1"/>
    <col min="2247" max="2247" width="10.7109375" customWidth="1"/>
    <col min="2249" max="2252" width="10.7109375" customWidth="1"/>
    <col min="2254" max="2255" width="10.7109375" customWidth="1"/>
    <col min="2257" max="2262" width="10.7109375" customWidth="1"/>
    <col min="2264" max="2360" width="10.7109375" customWidth="1"/>
    <col min="2362" max="2362" width="10.7109375" customWidth="1"/>
    <col min="2364" max="2365" width="10.7109375" customWidth="1"/>
    <col min="2369" max="2369" width="10.7109375" customWidth="1"/>
    <col min="2371" max="2372" width="10.7109375" customWidth="1"/>
    <col min="2374" max="2375" width="10.7109375" customWidth="1"/>
    <col min="2377" max="2377" width="10.7109375" customWidth="1"/>
    <col min="2380" max="2392" width="10.7109375" customWidth="1"/>
    <col min="2394" max="2394" width="10.7109375" customWidth="1"/>
    <col min="2396" max="2419" width="10.7109375" customWidth="1"/>
    <col min="2421" max="2422" width="10.7109375" customWidth="1"/>
    <col min="2424" max="2425" width="10.7109375" customWidth="1"/>
    <col min="2429" max="2429" width="10.7109375" customWidth="1"/>
    <col min="2433" max="2433" width="10.7109375" customWidth="1"/>
    <col min="2435" max="2436" width="10.7109375" customWidth="1"/>
    <col min="2438" max="2439" width="10.7109375" customWidth="1"/>
    <col min="2441" max="2441" width="10.7109375" customWidth="1"/>
    <col min="2444" max="2450" width="10.7109375" customWidth="1"/>
    <col min="2455" max="2457" width="10.7109375" customWidth="1"/>
    <col min="2461" max="2461" width="10.7109375" customWidth="1"/>
    <col min="2465" max="2465" width="10.7109375" customWidth="1"/>
    <col min="2467" max="2468" width="10.7109375" customWidth="1"/>
    <col min="2470" max="2471" width="10.7109375" customWidth="1"/>
    <col min="2473" max="2473" width="10.7109375" customWidth="1"/>
    <col min="2476" max="2482" width="10.7109375" customWidth="1"/>
    <col min="2484" max="2486" width="10.7109375" customWidth="1"/>
    <col min="2488" max="2489" width="10.7109375" customWidth="1"/>
    <col min="2493" max="2493" width="10.7109375" customWidth="1"/>
    <col min="2497" max="2497" width="10.7109375" customWidth="1"/>
    <col min="2499" max="2500" width="10.7109375" customWidth="1"/>
    <col min="2502" max="2503" width="10.7109375" customWidth="1"/>
    <col min="2505" max="2505" width="10.7109375" customWidth="1"/>
    <col min="2508" max="2518" width="10.7109375" customWidth="1"/>
    <col min="2520" max="2521" width="10.7109375" customWidth="1"/>
    <col min="2525" max="2525" width="10.7109375" customWidth="1"/>
    <col min="2529" max="2529" width="10.7109375" customWidth="1"/>
    <col min="2531" max="2532" width="10.7109375" customWidth="1"/>
    <col min="2534" max="2535" width="10.7109375" customWidth="1"/>
    <col min="2537" max="2537" width="10.7109375" customWidth="1"/>
    <col min="2540" max="2546" width="10.7109375" customWidth="1"/>
    <col min="2548" max="2553" width="10.7109375" customWidth="1"/>
    <col min="2555" max="2555" width="10.7109375" customWidth="1"/>
    <col min="2557" max="2557" width="10.7109375" customWidth="1"/>
    <col min="2561" max="2561" width="10.7109375" customWidth="1"/>
    <col min="2563" max="2564" width="10.7109375" customWidth="1"/>
    <col min="2566" max="2567" width="10.7109375" customWidth="1"/>
    <col min="2569" max="2569" width="10.7109375" customWidth="1"/>
    <col min="2572" max="2580" width="10.7109375" customWidth="1"/>
    <col min="2582" max="2582" width="10.7109375" customWidth="1"/>
    <col min="2584" max="2585" width="10.7109375" customWidth="1"/>
    <col min="2589" max="2589" width="10.7109375" customWidth="1"/>
    <col min="2593" max="2593" width="10.7109375" customWidth="1"/>
    <col min="2595" max="2596" width="10.7109375" customWidth="1"/>
    <col min="2598" max="2599" width="10.7109375" customWidth="1"/>
    <col min="2601" max="2601" width="10.7109375" customWidth="1"/>
    <col min="2604" max="2615" width="10.7109375" customWidth="1"/>
    <col min="2619" max="2620" width="10.7109375" customWidth="1"/>
    <col min="2623" max="2624" width="10.7109375" customWidth="1"/>
    <col min="2627" max="2627" width="10.7109375" customWidth="1"/>
    <col min="2629" max="2629" width="10.7109375" customWidth="1"/>
    <col min="2631" max="2633" width="10.7109375" customWidth="1"/>
    <col min="2636" max="2637" width="10.7109375" customWidth="1"/>
    <col min="2639" max="2640" width="10.7109375" customWidth="1"/>
    <col min="2642" max="2674" width="10.7109375" customWidth="1"/>
    <col min="2677" max="2678" width="10.7109375" customWidth="1"/>
    <col min="2680" max="2681" width="10.7109375" customWidth="1"/>
    <col min="2685" max="2685" width="10.7109375" customWidth="1"/>
    <col min="2689" max="2689" width="10.7109375" customWidth="1"/>
    <col min="2691" max="2692" width="10.7109375" customWidth="1"/>
    <col min="2694" max="2695" width="10.7109375" customWidth="1"/>
    <col min="2697" max="2697" width="10.7109375" customWidth="1"/>
    <col min="2700" max="2709" width="10.7109375" customWidth="1"/>
    <col min="2711" max="2711" width="10.7109375" customWidth="1"/>
    <col min="2714" max="2715" width="10.7109375" customWidth="1"/>
    <col min="2719" max="2720" width="10.7109375" customWidth="1"/>
    <col min="2722" max="2723" width="10.7109375" customWidth="1"/>
    <col min="2725" max="2725" width="10.7109375" customWidth="1"/>
    <col min="2728" max="2730" width="10.7109375" customWidth="1"/>
    <col min="2733" max="2733" width="10.7109375" customWidth="1"/>
    <col min="2735" max="2745" width="10.7109375" customWidth="1"/>
    <col min="2747" max="2747" width="10.7109375" customWidth="1"/>
    <col min="2749" max="2749" width="10.7109375" customWidth="1"/>
    <col min="2753" max="2753" width="10.7109375" customWidth="1"/>
    <col min="2755" max="2756" width="10.7109375" customWidth="1"/>
    <col min="2758" max="2759" width="10.7109375" customWidth="1"/>
    <col min="2761" max="2761" width="10.7109375" customWidth="1"/>
    <col min="2764" max="2771" width="10.7109375" customWidth="1"/>
    <col min="2801" max="2802" width="10.7109375" customWidth="1"/>
    <col min="2804" max="2844" width="10.7109375" customWidth="1"/>
    <col min="2847" max="2847" width="10.7109375" customWidth="1"/>
    <col min="2849" max="2849" width="10.7109375" customWidth="1"/>
    <col min="2851" max="2852" width="10.7109375" customWidth="1"/>
    <col min="2854" max="2855" width="10.7109375" customWidth="1"/>
    <col min="2857" max="2857" width="10.7109375" customWidth="1"/>
    <col min="2860" max="2867" width="10.7109375" customWidth="1"/>
    <col min="2871" max="2873" width="10.7109375" customWidth="1"/>
    <col min="2875" max="2875" width="10.7109375" customWidth="1"/>
    <col min="2879" max="2880" width="10.7109375" customWidth="1"/>
    <col min="2882" max="2882" width="10.7109375" customWidth="1"/>
    <col min="2885" max="2890" width="10.7109375" customWidth="1"/>
    <col min="2893" max="2893" width="10.7109375" customWidth="1"/>
    <col min="2895" max="2895" width="10.7109375" customWidth="1"/>
    <col min="2897" max="2899" width="10.7109375" customWidth="1"/>
    <col min="2901" max="2902" width="10.7109375" customWidth="1"/>
    <col min="2904" max="2981" width="10.7109375" customWidth="1"/>
    <col min="2983" max="2985" width="10.7109375" customWidth="1"/>
    <col min="2988" max="2989" width="10.7109375" customWidth="1"/>
    <col min="2991" max="2992" width="10.7109375" customWidth="1"/>
    <col min="2994" max="2996" width="10.7109375" customWidth="1"/>
    <col min="2998" max="2999" width="10.7109375" customWidth="1"/>
    <col min="3002" max="3002" width="10.7109375" customWidth="1"/>
    <col min="3004" max="3007" width="10.7109375" customWidth="1"/>
    <col min="3011" max="3011" width="10.7109375" customWidth="1"/>
    <col min="3013" max="3013" width="10.7109375" customWidth="1"/>
    <col min="3015" max="3015" width="10.7109375" customWidth="1"/>
    <col min="3017" max="3020" width="10.7109375" customWidth="1"/>
    <col min="3022" max="3023" width="10.7109375" customWidth="1"/>
    <col min="3027" max="3029" width="10.7109375" customWidth="1"/>
    <col min="3031" max="3032" width="10.7109375" customWidth="1"/>
    <col min="3034" max="3035" width="10.7109375" customWidth="1"/>
    <col min="3041" max="3041" width="10.7109375" customWidth="1"/>
    <col min="3045" max="3045" width="10.7109375" customWidth="1"/>
    <col min="3047" max="3047" width="10.7109375" customWidth="1"/>
    <col min="3049" max="3052" width="10.7109375" customWidth="1"/>
    <col min="3054" max="3055" width="10.7109375" customWidth="1"/>
    <col min="3057" max="3062" width="10.7109375" customWidth="1"/>
    <col min="3064" max="3100" width="10.7109375" customWidth="1"/>
    <col min="3103" max="3103" width="10.7109375" customWidth="1"/>
    <col min="3105" max="3105" width="10.7109375" customWidth="1"/>
    <col min="3107" max="3108" width="10.7109375" customWidth="1"/>
    <col min="3110" max="3111" width="10.7109375" customWidth="1"/>
    <col min="3113" max="3113" width="10.7109375" customWidth="1"/>
    <col min="3116" max="3123" width="10.7109375" customWidth="1"/>
    <col min="3125" max="3126" width="10.7109375" customWidth="1"/>
    <col min="3128" max="3128" width="10.7109375" customWidth="1"/>
    <col min="3131" max="3131" width="10.7109375" customWidth="1"/>
    <col min="3133" max="3134" width="10.7109375" customWidth="1"/>
    <col min="3136" max="3136" width="10.7109375" customWidth="1"/>
    <col min="3151" max="3151" width="10.7109375" customWidth="1"/>
    <col min="3155" max="3155" width="10.7109375" customWidth="1"/>
    <col min="3157" max="3157" width="10.7109375" customWidth="1"/>
    <col min="3160" max="3161" width="10.7109375" customWidth="1"/>
    <col min="3164" max="3164" width="10.7109375" customWidth="1"/>
    <col min="3166" max="3167" width="10.7109375" customWidth="1"/>
    <col min="3171" max="3171" width="10.7109375" customWidth="1"/>
    <col min="3173" max="3173" width="10.7109375" customWidth="1"/>
    <col min="3175" max="3175" width="10.7109375" customWidth="1"/>
    <col min="3177" max="3180" width="10.7109375" customWidth="1"/>
    <col min="3182" max="3183" width="10.7109375" customWidth="1"/>
    <col min="3185" max="3218" width="10.7109375" customWidth="1"/>
    <col min="3220" max="3251" width="10.7109375" customWidth="1"/>
    <col min="3256" max="3256" width="10.7109375" customWidth="1"/>
    <col min="3259" max="3259" width="10.7109375" customWidth="1"/>
    <col min="3261" max="3262" width="10.7109375" customWidth="1"/>
    <col min="3264" max="3264" width="10.7109375" customWidth="1"/>
    <col min="3279" max="3279" width="10.7109375" customWidth="1"/>
    <col min="3281" max="3281" width="10.7109375" customWidth="1"/>
    <col min="3283" max="3285" width="10.7109375" customWidth="1"/>
    <col min="3288" max="3288" width="10.7109375" customWidth="1"/>
    <col min="3290" max="3291" width="10.7109375" customWidth="1"/>
    <col min="3297" max="3297" width="10.7109375" customWidth="1"/>
    <col min="3301" max="3301" width="10.7109375" customWidth="1"/>
    <col min="3303" max="3303" width="10.7109375" customWidth="1"/>
    <col min="3305" max="3308" width="10.7109375" customWidth="1"/>
    <col min="3310" max="3311" width="10.7109375" customWidth="1"/>
    <col min="3313" max="3324" width="10.7109375" customWidth="1"/>
    <col min="3327" max="3327" width="10.7109375" customWidth="1"/>
    <col min="3329" max="3329" width="10.7109375" customWidth="1"/>
    <col min="3331" max="3332" width="10.7109375" customWidth="1"/>
    <col min="3334" max="3335" width="10.7109375" customWidth="1"/>
    <col min="3337" max="3337" width="10.7109375" customWidth="1"/>
    <col min="3340" max="3350" width="10.7109375" customWidth="1"/>
    <col min="3352" max="3380" width="10.7109375" customWidth="1"/>
    <col min="3382" max="3382" width="10.7109375" customWidth="1"/>
    <col min="3384" max="3386" width="10.7109375" customWidth="1"/>
    <col min="3388" max="3388" width="10.7109375" customWidth="1"/>
    <col min="3390" max="3390" width="10.7109375" customWidth="1"/>
    <col min="3392" max="3392" width="10.7109375" customWidth="1"/>
    <col min="3395" max="3400" width="10.7109375" customWidth="1"/>
    <col min="3402" max="3403" width="10.7109375" customWidth="1"/>
    <col min="3405" max="3405" width="10.7109375" customWidth="1"/>
    <col min="3407" max="3408" width="10.7109375" customWidth="1"/>
    <col min="3411" max="3413" width="10.7109375" customWidth="1"/>
    <col min="3415" max="3416" width="10.7109375" customWidth="1"/>
    <col min="3418" max="3419" width="10.7109375" customWidth="1"/>
    <col min="3425" max="3425" width="10.7109375" customWidth="1"/>
    <col min="3429" max="3429" width="10.7109375" customWidth="1"/>
    <col min="3431" max="3431" width="10.7109375" customWidth="1"/>
    <col min="3433" max="3436" width="10.7109375" customWidth="1"/>
    <col min="3438" max="3439" width="10.7109375" customWidth="1"/>
    <col min="3441" max="3444" width="10.7109375" customWidth="1"/>
    <col min="3446" max="3446" width="10.7109375" customWidth="1"/>
    <col min="3448" max="3484" width="10.7109375" customWidth="1"/>
    <col min="3487" max="3487" width="10.7109375" customWidth="1"/>
    <col min="3489" max="3489" width="10.7109375" customWidth="1"/>
    <col min="3491" max="3492" width="10.7109375" customWidth="1"/>
    <col min="3494" max="3495" width="10.7109375" customWidth="1"/>
    <col min="3497" max="3497" width="10.7109375" customWidth="1"/>
    <col min="3500" max="3507" width="10.7109375" customWidth="1"/>
    <col min="3509" max="3514" width="10.7109375" customWidth="1"/>
    <col min="3517" max="3518" width="10.7109375" customWidth="1"/>
    <col min="3520" max="3520" width="10.7109375" customWidth="1"/>
    <col min="3535" max="3535" width="10.7109375" customWidth="1"/>
    <col min="3537" max="3537" width="10.7109375" customWidth="1"/>
    <col min="3542" max="3542" width="10.7109375" customWidth="1"/>
    <col min="3544" max="3544" width="10.7109375" customWidth="1"/>
    <col min="3548" max="3548" width="10.7109375" customWidth="1"/>
    <col min="3550" max="3551" width="10.7109375" customWidth="1"/>
    <col min="3553" max="3554" width="10.7109375" customWidth="1"/>
    <col min="3556" max="3558" width="10.7109375" customWidth="1"/>
    <col min="3560" max="3561" width="10.7109375" customWidth="1"/>
    <col min="3564" max="3564" width="10.7109375" customWidth="1"/>
    <col min="3566" max="3567" width="10.7109375" customWidth="1"/>
    <col min="3569" max="3577" width="10.7109375" customWidth="1"/>
    <col min="3580" max="3605" width="10.7109375" customWidth="1"/>
    <col min="3609" max="3610" width="10.7109375" customWidth="1"/>
    <col min="3612" max="3612" width="10.7109375" customWidth="1"/>
    <col min="3614" max="3614" width="10.7109375" customWidth="1"/>
    <col min="3616" max="3616" width="10.7109375" customWidth="1"/>
    <col min="3619" max="3621" width="10.7109375" customWidth="1"/>
    <col min="3623" max="3623" width="10.7109375" customWidth="1"/>
    <col min="3625" max="3626" width="10.7109375" customWidth="1"/>
    <col min="3629" max="3629" width="10.7109375" customWidth="1"/>
    <col min="3631" max="3631" width="10.7109375" customWidth="1"/>
    <col min="3633" max="3635" width="10.7109375" customWidth="1"/>
    <col min="3637" max="3639" width="10.7109375" customWidth="1"/>
    <col min="3643" max="3643" width="10.7109375" customWidth="1"/>
    <col min="3645" max="3646" width="10.7109375" customWidth="1"/>
    <col min="3648" max="3648" width="10.7109375" customWidth="1"/>
    <col min="3663" max="3663" width="10.7109375" customWidth="1"/>
    <col min="3665" max="3667" width="10.7109375" customWidth="1"/>
    <col min="3670" max="3670" width="10.7109375" customWidth="1"/>
    <col min="3673" max="3675" width="10.7109375" customWidth="1"/>
    <col min="3678" max="3679" width="10.7109375" customWidth="1"/>
    <col min="3681" max="3682" width="10.7109375" customWidth="1"/>
    <col min="3684" max="3686" width="10.7109375" customWidth="1"/>
    <col min="3688" max="3689" width="10.7109375" customWidth="1"/>
    <col min="3692" max="3692" width="10.7109375" customWidth="1"/>
    <col min="3694" max="3695" width="10.7109375" customWidth="1"/>
    <col min="3697" max="3708" width="10.7109375" customWidth="1"/>
    <col min="3711" max="3711" width="10.7109375" customWidth="1"/>
    <col min="3713" max="3713" width="10.7109375" customWidth="1"/>
    <col min="3715" max="3716" width="10.7109375" customWidth="1"/>
    <col min="3718" max="3719" width="10.7109375" customWidth="1"/>
    <col min="3721" max="3721" width="10.7109375" customWidth="1"/>
    <col min="3724" max="3734" width="10.7109375" customWidth="1"/>
    <col min="3736" max="3763" width="10.7109375" customWidth="1"/>
    <col min="3767" max="3767" width="10.7109375" customWidth="1"/>
    <col min="3771" max="3771" width="10.7109375" customWidth="1"/>
    <col min="3773" max="3774" width="10.7109375" customWidth="1"/>
    <col min="3776" max="3776" width="10.7109375" customWidth="1"/>
    <col min="3791" max="3791" width="10.7109375" customWidth="1"/>
    <col min="3793" max="3794" width="10.7109375" customWidth="1"/>
    <col min="3796" max="3796" width="10.7109375" customWidth="1"/>
    <col min="3799" max="3799" width="10.7109375" customWidth="1"/>
    <col min="3801" max="3803" width="10.7109375" customWidth="1"/>
    <col min="3806" max="3807" width="10.7109375" customWidth="1"/>
    <col min="3809" max="3810" width="10.7109375" customWidth="1"/>
    <col min="3812" max="3814" width="10.7109375" customWidth="1"/>
    <col min="3816" max="3817" width="10.7109375" customWidth="1"/>
    <col min="3820" max="3820" width="10.7109375" customWidth="1"/>
    <col min="3822" max="3823" width="10.7109375" customWidth="1"/>
    <col min="3825" max="3830" width="10.7109375" customWidth="1"/>
    <col min="3832" max="3865" width="10.7109375" customWidth="1"/>
    <col min="3868" max="3900" width="10.7109375" customWidth="1"/>
    <col min="3903" max="3903" width="10.7109375" customWidth="1"/>
    <col min="3905" max="3905" width="10.7109375" customWidth="1"/>
    <col min="3907" max="3908" width="10.7109375" customWidth="1"/>
    <col min="3910" max="3911" width="10.7109375" customWidth="1"/>
    <col min="3913" max="3913" width="10.7109375" customWidth="1"/>
    <col min="3916" max="3923" width="10.7109375" customWidth="1"/>
    <col min="3925" max="3925" width="10.7109375" customWidth="1"/>
    <col min="3927" max="3927" width="10.7109375" customWidth="1"/>
    <col min="3930" max="3935" width="10.7109375" customWidth="1"/>
    <col min="3937" max="3938" width="10.7109375" customWidth="1"/>
    <col min="3940" max="3942" width="10.7109375" customWidth="1"/>
    <col min="3944" max="3945" width="10.7109375" customWidth="1"/>
    <col min="3948" max="3948" width="10.7109375" customWidth="1"/>
    <col min="3950" max="3951" width="10.7109375" customWidth="1"/>
    <col min="3953" max="3954" width="10.7109375" customWidth="1"/>
    <col min="3957" max="3959" width="10.7109375" customWidth="1"/>
    <col min="3964" max="3976" width="10.7109375" customWidth="1"/>
    <col min="3978" max="3986" width="10.7109375" customWidth="1"/>
    <col min="3989" max="3991" width="10.7109375" customWidth="1"/>
    <col min="3996" max="4009" width="10.7109375" customWidth="1"/>
    <col min="4011" max="4018" width="10.7109375" customWidth="1"/>
    <col min="4020" max="4020" width="10.7109375" customWidth="1"/>
    <col min="4023" max="4025" width="10.7109375" customWidth="1"/>
    <col min="4028" max="4031" width="10.7109375" customWidth="1"/>
    <col min="4035" max="4037" width="10.7109375" customWidth="1"/>
    <col min="4039" max="4039" width="10.7109375" customWidth="1"/>
    <col min="4041" max="4042" width="10.7109375" customWidth="1"/>
    <col min="4045" max="4045" width="10.7109375" customWidth="1"/>
    <col min="4047" max="4047" width="10.7109375" customWidth="1"/>
    <col min="4049" max="4049" width="10.7109375" customWidth="1"/>
    <col min="4054" max="4055" width="10.7109375" customWidth="1"/>
    <col min="4057" max="4058" width="10.7109375" customWidth="1"/>
    <col min="4060" max="4060" width="10.7109375" customWidth="1"/>
    <col min="4062" max="4063" width="10.7109375" customWidth="1"/>
    <col min="4065" max="4066" width="10.7109375" customWidth="1"/>
    <col min="4068" max="4070" width="10.7109375" customWidth="1"/>
    <col min="4072" max="4073" width="10.7109375" customWidth="1"/>
    <col min="4076" max="4076" width="10.7109375" customWidth="1"/>
    <col min="4078" max="4079" width="10.7109375" customWidth="1"/>
    <col min="4081" max="4090" width="10.7109375" customWidth="1"/>
    <col min="4092" max="4117" width="10.7109375" customWidth="1"/>
    <col min="4119" max="4119" width="10.7109375" customWidth="1"/>
    <col min="4122" max="4123" width="10.7109375" customWidth="1"/>
    <col min="4127" max="4128" width="10.7109375" customWidth="1"/>
    <col min="4130" max="4131" width="10.7109375" customWidth="1"/>
    <col min="4133" max="4133" width="10.7109375" customWidth="1"/>
    <col min="4136" max="4138" width="10.7109375" customWidth="1"/>
    <col min="4141" max="4141" width="10.7109375" customWidth="1"/>
    <col min="4143" max="4147" width="10.7109375" customWidth="1"/>
    <col min="4155" max="4155" width="10.7109375" customWidth="1"/>
    <col min="4157" max="4158" width="10.7109375" customWidth="1"/>
    <col min="4160" max="4160" width="10.7109375" customWidth="1"/>
    <col min="4175" max="4175" width="10.7109375" customWidth="1"/>
    <col min="4177" max="4177" width="10.7109375" customWidth="1"/>
    <col min="4179" max="4181" width="10.7109375" customWidth="1"/>
    <col min="4184" max="4185" width="10.7109375" customWidth="1"/>
    <col min="4188" max="4188" width="10.7109375" customWidth="1"/>
    <col min="4190" max="4191" width="10.7109375" customWidth="1"/>
    <col min="4193" max="4194" width="10.7109375" customWidth="1"/>
    <col min="4196" max="4198" width="10.7109375" customWidth="1"/>
    <col min="4200" max="4201" width="10.7109375" customWidth="1"/>
    <col min="4204" max="4204" width="10.7109375" customWidth="1"/>
    <col min="4206" max="4207" width="10.7109375" customWidth="1"/>
    <col min="4209" max="4213" width="10.7109375" customWidth="1"/>
    <col min="4215" max="4215" width="10.7109375" customWidth="1"/>
    <col min="4218" max="4219" width="10.7109375" customWidth="1"/>
    <col min="4223" max="4224" width="10.7109375" customWidth="1"/>
    <col min="4226" max="4227" width="10.7109375" customWidth="1"/>
    <col min="4229" max="4229" width="10.7109375" customWidth="1"/>
    <col min="4232" max="4234" width="10.7109375" customWidth="1"/>
    <col min="4237" max="4237" width="10.7109375" customWidth="1"/>
    <col min="4239" max="4246" width="10.7109375" customWidth="1"/>
    <col min="4248" max="4281" width="10.7109375" customWidth="1"/>
    <col min="4284" max="4305" width="10.7109375" customWidth="1"/>
    <col min="4309" max="4310" width="10.7109375" customWidth="1"/>
    <col min="4312" max="4312" width="10.7109375" customWidth="1"/>
    <col min="4315" max="4317" width="10.7109375" customWidth="1"/>
    <col min="4321" max="4322" width="10.7109375" customWidth="1"/>
    <col min="4324" max="4326" width="10.7109375" customWidth="1"/>
    <col min="4328" max="4329" width="10.7109375" customWidth="1"/>
    <col min="4332" max="4332" width="10.7109375" customWidth="1"/>
    <col min="4334" max="4335" width="10.7109375" customWidth="1"/>
    <col min="4337" max="4341" width="10.7109375" customWidth="1"/>
    <col min="4343" max="4345" width="10.7109375" customWidth="1"/>
    <col min="4347" max="4348" width="10.7109375" customWidth="1"/>
    <col min="4350" max="4351" width="10.7109375" customWidth="1"/>
    <col min="4353" max="4353" width="10.7109375" customWidth="1"/>
    <col min="4355" max="4355" width="10.7109375" customWidth="1"/>
    <col min="4357" max="4357" width="10.7109375" customWidth="1"/>
    <col min="4360" max="4362" width="10.7109375" customWidth="1"/>
    <col min="4365" max="4365" width="10.7109375" customWidth="1"/>
    <col min="4367" max="4370" width="10.7109375" customWidth="1"/>
    <col min="4373" max="4373" width="10.7109375" customWidth="1"/>
    <col min="4375" max="4375" width="10.7109375" customWidth="1"/>
    <col min="4381" max="4382" width="10.7109375" customWidth="1"/>
    <col min="4386" max="4389" width="10.7109375" customWidth="1"/>
    <col min="4391" max="4391" width="10.7109375" customWidth="1"/>
    <col min="4393" max="4394" width="10.7109375" customWidth="1"/>
    <col min="4397" max="4397" width="10.7109375" customWidth="1"/>
    <col min="4399" max="4399" width="10.7109375" customWidth="1"/>
    <col min="4401" max="4438" width="10.7109375" customWidth="1"/>
    <col min="4440" max="4440" width="10.7109375" customWidth="1"/>
    <col min="4442" max="4444" width="10.7109375" customWidth="1"/>
    <col min="4446" max="4448" width="10.7109375" customWidth="1"/>
    <col min="4451" max="4453" width="10.7109375" customWidth="1"/>
    <col min="4455" max="4455" width="10.7109375" customWidth="1"/>
    <col min="4457" max="4458" width="10.7109375" customWidth="1"/>
    <col min="4461" max="4461" width="10.7109375" customWidth="1"/>
    <col min="4463" max="4463" width="10.7109375" customWidth="1"/>
    <col min="4465" max="4466" width="10.7109375" customWidth="1"/>
    <col min="4470" max="4470" width="10.7109375" customWidth="1"/>
    <col min="4472" max="4473" width="10.7109375" customWidth="1"/>
    <col min="4475" max="4479" width="10.7109375" customWidth="1"/>
    <col min="4481" max="4482" width="10.7109375" customWidth="1"/>
    <col min="4486" max="4486" width="10.7109375" customWidth="1"/>
    <col min="4488" max="4489" width="10.7109375" customWidth="1"/>
    <col min="4492" max="4492" width="10.7109375" customWidth="1"/>
    <col min="4494" max="4495" width="10.7109375" customWidth="1"/>
    <col min="4497" max="4499" width="10.7109375" customWidth="1"/>
    <col min="4503" max="4505" width="10.7109375" customWidth="1"/>
    <col min="4507" max="4507" width="10.7109375" customWidth="1"/>
    <col min="4511" max="4512" width="10.7109375" customWidth="1"/>
    <col min="4514" max="4514" width="10.7109375" customWidth="1"/>
    <col min="4517" max="4533" width="10.7109375" customWidth="1"/>
    <col min="4546" max="4549" width="10.7109375" customWidth="1"/>
    <col min="4551" max="4551" width="10.7109375" customWidth="1"/>
    <col min="4553" max="4554" width="10.7109375" customWidth="1"/>
    <col min="4557" max="4557" width="10.7109375" customWidth="1"/>
    <col min="4559" max="4559" width="10.7109375" customWidth="1"/>
    <col min="4561" max="4561" width="10.7109375" customWidth="1"/>
    <col min="4565" max="4565" width="10.7109375" customWidth="1"/>
    <col min="4567" max="4567" width="10.7109375" customWidth="1"/>
    <col min="4570" max="4572" width="10.7109375" customWidth="1"/>
    <col min="4574" max="4577" width="10.7109375" customWidth="1"/>
    <col min="4580" max="4582" width="10.7109375" customWidth="1"/>
    <col min="4584" max="4585" width="10.7109375" customWidth="1"/>
    <col min="4588" max="4588" width="10.7109375" customWidth="1"/>
    <col min="4590" max="4591" width="10.7109375" customWidth="1"/>
    <col min="4594" max="4595" width="10.7109375" customWidth="1"/>
    <col min="4597" max="4597" width="10.7109375" customWidth="1"/>
    <col min="4599" max="4599" width="10.7109375" customWidth="1"/>
    <col min="4602" max="4603" width="10.7109375" customWidth="1"/>
    <col min="4607" max="4608" width="10.7109375" customWidth="1"/>
    <col min="4610" max="4611" width="10.7109375" customWidth="1"/>
    <col min="4613" max="4613" width="10.7109375" customWidth="1"/>
    <col min="4616" max="4618" width="10.7109375" customWidth="1"/>
    <col min="4621" max="4621" width="10.7109375" customWidth="1"/>
    <col min="4623" max="4629" width="10.7109375" customWidth="1"/>
    <col min="4631" max="4631" width="10.7109375" customWidth="1"/>
    <col min="4634" max="4635" width="10.7109375" customWidth="1"/>
    <col min="4639" max="4640" width="10.7109375" customWidth="1"/>
    <col min="4642" max="4643" width="10.7109375" customWidth="1"/>
    <col min="4645" max="4645" width="10.7109375" customWidth="1"/>
    <col min="4648" max="4650" width="10.7109375" customWidth="1"/>
    <col min="4653" max="4653" width="10.7109375" customWidth="1"/>
    <col min="4655" max="4659" width="10.7109375" customWidth="1"/>
    <col min="4661" max="4661" width="10.7109375" customWidth="1"/>
    <col min="4664" max="4668" width="10.7109375" customWidth="1"/>
    <col min="4670" max="4670" width="10.7109375" customWidth="1"/>
    <col min="4672" max="4672" width="10.7109375" customWidth="1"/>
    <col min="4687" max="4687" width="10.7109375" customWidth="1"/>
    <col min="4690" max="4690" width="10.7109375" customWidth="1"/>
    <col min="4694" max="4694" width="10.7109375" customWidth="1"/>
    <col min="4696" max="4696" width="10.7109375" customWidth="1"/>
    <col min="4700" max="4704" width="10.7109375" customWidth="1"/>
    <col min="4706" max="4706" width="10.7109375" customWidth="1"/>
    <col min="4708" max="4710" width="10.7109375" customWidth="1"/>
    <col min="4712" max="4713" width="10.7109375" customWidth="1"/>
    <col min="4716" max="4716" width="10.7109375" customWidth="1"/>
    <col min="4718" max="4719" width="10.7109375" customWidth="1"/>
    <col min="4722" max="4723" width="10.7109375" customWidth="1"/>
    <col min="4725" max="4725" width="10.7109375" customWidth="1"/>
    <col min="4727" max="4727" width="10.7109375" customWidth="1"/>
    <col min="4730" max="4731" width="10.7109375" customWidth="1"/>
    <col min="4735" max="4736" width="10.7109375" customWidth="1"/>
    <col min="4738" max="4739" width="10.7109375" customWidth="1"/>
    <col min="4741" max="4741" width="10.7109375" customWidth="1"/>
    <col min="4744" max="4746" width="10.7109375" customWidth="1"/>
    <col min="4749" max="4749" width="10.7109375" customWidth="1"/>
    <col min="4751" max="4752" width="10.7109375" customWidth="1"/>
    <col min="4754" max="4755" width="10.7109375" customWidth="1"/>
    <col min="4759" max="4759" width="10.7109375" customWidth="1"/>
    <col min="4761" max="4762" width="10.7109375" customWidth="1"/>
    <col min="4764" max="4766" width="10.7109375" customWidth="1"/>
    <col min="4768" max="4773" width="10.7109375" customWidth="1"/>
    <col min="4777" max="4777" width="10.7109375" customWidth="1"/>
    <col min="4780" max="4787" width="10.7109375" customWidth="1"/>
    <col min="4789" max="4789" width="10.7109375" customWidth="1"/>
    <col min="4797" max="4798" width="10.7109375" customWidth="1"/>
    <col min="4800" max="4800" width="10.7109375" customWidth="1"/>
    <col min="4815" max="4815" width="10.7109375" customWidth="1"/>
    <col min="4818" max="4848" width="10.7109375" customWidth="1"/>
    <col min="4850" max="4915" width="10.7109375" customWidth="1"/>
    <col min="4917" max="4924" width="10.7109375" customWidth="1"/>
    <col min="4926" max="4926" width="10.7109375" customWidth="1"/>
    <col min="4928" max="4928" width="10.7109375" customWidth="1"/>
    <col min="4943" max="4943" width="10.7109375" customWidth="1"/>
    <col min="4945" max="4945" width="10.7109375" customWidth="1"/>
    <col min="4948" max="4948" width="10.7109375" customWidth="1"/>
    <col min="4950" max="4950" width="10.7109375" customWidth="1"/>
    <col min="4954" max="4954" width="10.7109375" customWidth="1"/>
    <col min="4956" max="4957" width="10.7109375" customWidth="1"/>
    <col min="4962" max="4962" width="10.7109375" customWidth="1"/>
    <col min="4964" max="4966" width="10.7109375" customWidth="1"/>
    <col min="4968" max="4969" width="10.7109375" customWidth="1"/>
    <col min="4972" max="4972" width="10.7109375" customWidth="1"/>
    <col min="4974" max="4975" width="10.7109375" customWidth="1"/>
    <col min="4977" max="4978" width="10.7109375" customWidth="1"/>
    <col min="4980" max="4980" width="10.7109375" customWidth="1"/>
    <col min="4982" max="4982" width="10.7109375" customWidth="1"/>
    <col min="4986" max="4986" width="10.7109375" customWidth="1"/>
    <col min="4988" max="4989" width="10.7109375" customWidth="1"/>
    <col min="4993" max="4993" width="10.7109375" customWidth="1"/>
    <col min="4995" max="4997" width="10.7109375" customWidth="1"/>
    <col min="4999" max="4999" width="10.7109375" customWidth="1"/>
    <col min="5001" max="5002" width="10.7109375" customWidth="1"/>
    <col min="5005" max="5005" width="10.7109375" customWidth="1"/>
    <col min="5007" max="5007" width="10.7109375" customWidth="1"/>
    <col min="5009" max="5040" width="10.7109375" customWidth="1"/>
    <col min="5042" max="5042" width="10.7109375" customWidth="1"/>
    <col min="5045" max="5045" width="10.7109375" customWidth="1"/>
    <col min="5047" max="5106" width="10.7109375" customWidth="1"/>
    <col min="5108" max="5108" width="10.7109375" customWidth="1"/>
    <col min="5112" max="5128" width="10.7109375" customWidth="1"/>
    <col min="5130" max="5136" width="10.7109375" customWidth="1"/>
    <col min="5138" max="5138" width="10.7109375" customWidth="1"/>
    <col min="5141" max="5141" width="10.7109375" customWidth="1"/>
    <col min="5143" max="5174" width="10.7109375" customWidth="1"/>
    <col min="5176" max="5176" width="10.7109375" customWidth="1"/>
    <col min="5178" max="5180" width="10.7109375" customWidth="1"/>
    <col min="5182" max="5184" width="10.7109375" customWidth="1"/>
    <col min="5187" max="5189" width="10.7109375" customWidth="1"/>
    <col min="5191" max="5191" width="10.7109375" customWidth="1"/>
    <col min="5193" max="5194" width="10.7109375" customWidth="1"/>
    <col min="5197" max="5197" width="10.7109375" customWidth="1"/>
    <col min="5199" max="5199" width="10.7109375" customWidth="1"/>
    <col min="5201" max="5206" width="10.7109375" customWidth="1"/>
    <col min="5208" max="5208" width="10.7109375" customWidth="1"/>
    <col min="5210" max="5212" width="10.7109375" customWidth="1"/>
    <col min="5214" max="5216" width="10.7109375" customWidth="1"/>
    <col min="5219" max="5221" width="10.7109375" customWidth="1"/>
    <col min="5223" max="5223" width="10.7109375" customWidth="1"/>
    <col min="5225" max="5226" width="10.7109375" customWidth="1"/>
    <col min="5229" max="5229" width="10.7109375" customWidth="1"/>
    <col min="5231" max="5231" width="10.7109375" customWidth="1"/>
    <col min="5233" max="5240" width="10.7109375" customWidth="1"/>
    <col min="5246" max="5249" width="10.7109375" customWidth="1"/>
    <col min="5252" max="5253" width="10.7109375" customWidth="1"/>
    <col min="5257" max="5257" width="10.7109375" customWidth="1"/>
    <col min="5260" max="5264" width="10.7109375" customWidth="1"/>
    <col min="5266" max="5267" width="10.7109375" customWidth="1"/>
    <col min="5271" max="5271" width="10.7109375" customWidth="1"/>
    <col min="5273" max="5274" width="10.7109375" customWidth="1"/>
    <col min="5276" max="5278" width="10.7109375" customWidth="1"/>
    <col min="5280" max="5285" width="10.7109375" customWidth="1"/>
    <col min="5289" max="5289" width="10.7109375" customWidth="1"/>
    <col min="5292" max="5298" width="10.7109375" customWidth="1"/>
    <col min="5301" max="5301" width="10.7109375" customWidth="1"/>
    <col min="5303" max="5360" width="10.7109375" customWidth="1"/>
    <col min="5362" max="5392" width="10.7109375" customWidth="1"/>
    <col min="5394" max="5395" width="10.7109375" customWidth="1"/>
    <col min="5397" max="5397" width="10.7109375" customWidth="1"/>
    <col min="5399" max="5399" width="10.7109375" customWidth="1"/>
    <col min="5402" max="5403" width="10.7109375" customWidth="1"/>
    <col min="5407" max="5408" width="10.7109375" customWidth="1"/>
    <col min="5410" max="5411" width="10.7109375" customWidth="1"/>
    <col min="5413" max="5413" width="10.7109375" customWidth="1"/>
    <col min="5416" max="5418" width="10.7109375" customWidth="1"/>
    <col min="5421" max="5421" width="10.7109375" customWidth="1"/>
    <col min="5423" max="5462" width="10.7109375" customWidth="1"/>
    <col min="5464" max="5473" width="10.7109375" customWidth="1"/>
    <col min="5476" max="5477" width="10.7109375" customWidth="1"/>
    <col min="5482" max="5489" width="10.7109375" customWidth="1"/>
    <col min="5495" max="5495" width="10.7109375" customWidth="1"/>
    <col min="5497" max="5498" width="10.7109375" customWidth="1"/>
    <col min="5506" max="5506" width="10.7109375" customWidth="1"/>
    <col min="5510" max="5510" width="10.7109375" customWidth="1"/>
    <col min="5512" max="5513" width="10.7109375" customWidth="1"/>
    <col min="5516" max="5516" width="10.7109375" customWidth="1"/>
    <col min="5518" max="5519" width="10.7109375" customWidth="1"/>
    <col min="5521" max="5528" width="10.7109375" customWidth="1"/>
    <col min="5530" max="5533" width="10.7109375" customWidth="1"/>
    <col min="5535" max="5537" width="10.7109375" customWidth="1"/>
    <col min="5540" max="5541" width="10.7109375" customWidth="1"/>
    <col min="5545" max="5545" width="10.7109375" customWidth="1"/>
    <col min="5548" max="5552" width="10.7109375" customWidth="1"/>
    <col min="5554" max="5554" width="10.7109375" customWidth="1"/>
    <col min="5557" max="5557" width="10.7109375" customWidth="1"/>
    <col min="5559" max="5586" width="10.7109375" customWidth="1"/>
    <col min="5589" max="5589" width="10.7109375" customWidth="1"/>
    <col min="5591" max="5621" width="10.7109375" customWidth="1"/>
    <col min="5624" max="5625" width="10.7109375" customWidth="1"/>
    <col min="5627" max="5629" width="10.7109375" customWidth="1"/>
    <col min="5631" max="5633" width="10.7109375" customWidth="1"/>
    <col min="5636" max="5637" width="10.7109375" customWidth="1"/>
    <col min="5641" max="5641" width="10.7109375" customWidth="1"/>
    <col min="5644" max="5648" width="10.7109375" customWidth="1"/>
    <col min="5650" max="5684" width="10.7109375" customWidth="1"/>
    <col min="5689" max="5689" width="10.7109375" customWidth="1"/>
    <col min="5691" max="5693" width="10.7109375" customWidth="1"/>
    <col min="5695" max="5697" width="10.7109375" customWidth="1"/>
    <col min="5700" max="5701" width="10.7109375" customWidth="1"/>
    <col min="5705" max="5705" width="10.7109375" customWidth="1"/>
    <col min="5708" max="5718" width="10.7109375" customWidth="1"/>
    <col min="5720" max="5720" width="10.7109375" customWidth="1"/>
    <col min="5723" max="5725" width="10.7109375" customWidth="1"/>
    <col min="5727" max="5729" width="10.7109375" customWidth="1"/>
    <col min="5732" max="5733" width="10.7109375" customWidth="1"/>
    <col min="5737" max="5737" width="10.7109375" customWidth="1"/>
    <col min="5740" max="5751" width="10.7109375" customWidth="1"/>
    <col min="5755" max="5757" width="10.7109375" customWidth="1"/>
    <col min="5759" max="5761" width="10.7109375" customWidth="1"/>
    <col min="5764" max="5765" width="10.7109375" customWidth="1"/>
    <col min="5769" max="5780" width="10.7109375" customWidth="1"/>
    <col min="5782" max="5782" width="10.7109375" customWidth="1"/>
    <col min="5787" max="5789" width="10.7109375" customWidth="1"/>
    <col min="5791" max="5793" width="10.7109375" customWidth="1"/>
    <col min="5796" max="5797" width="10.7109375" customWidth="1"/>
    <col min="5801" max="5801" width="10.7109375" customWidth="1"/>
    <col min="5804" max="5840" width="10.7109375" customWidth="1"/>
    <col min="5842" max="5842" width="10.7109375" customWidth="1"/>
    <col min="5844" max="5844" width="10.7109375" customWidth="1"/>
    <col min="5846" max="5846" width="10.7109375" customWidth="1"/>
    <col min="5850" max="5851" width="10.7109375" customWidth="1"/>
    <col min="5855" max="5856" width="10.7109375" customWidth="1"/>
    <col min="5858" max="5859" width="10.7109375" customWidth="1"/>
    <col min="5861" max="5861" width="10.7109375" customWidth="1"/>
    <col min="5864" max="5866" width="10.7109375" customWidth="1"/>
    <col min="5869" max="5869" width="10.7109375" customWidth="1"/>
    <col min="5871" max="5906" width="10.7109375" customWidth="1"/>
    <col min="5909" max="5909" width="10.7109375" customWidth="1"/>
    <col min="5911" max="5939" width="10.7109375" customWidth="1"/>
    <col min="5941" max="5941" width="10.7109375" customWidth="1"/>
    <col min="5943" max="6040" width="10.7109375" customWidth="1"/>
    <col min="6042" max="6042" width="10.7109375" customWidth="1"/>
    <col min="6044" max="6045" width="10.7109375" customWidth="1"/>
    <col min="6047" max="6049" width="10.7109375" customWidth="1"/>
    <col min="6052" max="6053" width="10.7109375" customWidth="1"/>
    <col min="6057" max="6057" width="10.7109375" customWidth="1"/>
    <col min="6060" max="6098" width="10.7109375" customWidth="1"/>
    <col min="6101" max="6101" width="10.7109375" customWidth="1"/>
    <col min="6103" max="6133" width="10.7109375" customWidth="1"/>
    <col min="6136" max="6137" width="10.7109375" customWidth="1"/>
    <col min="6140" max="6141" width="10.7109375" customWidth="1"/>
    <col min="6143" max="6145" width="10.7109375" customWidth="1"/>
    <col min="6148" max="6149" width="10.7109375" customWidth="1"/>
    <col min="6153" max="6153" width="10.7109375" customWidth="1"/>
    <col min="6156" max="6165" width="10.7109375" customWidth="1"/>
    <col min="6167" max="6167" width="10.7109375" customWidth="1"/>
    <col min="6169" max="6169" width="10.7109375" customWidth="1"/>
    <col min="6172" max="6173" width="10.7109375" customWidth="1"/>
    <col min="6175" max="6177" width="10.7109375" customWidth="1"/>
    <col min="6180" max="6181" width="10.7109375" customWidth="1"/>
    <col min="6185" max="6185" width="10.7109375" customWidth="1"/>
    <col min="6188" max="6197" width="10.7109375" customWidth="1"/>
    <col min="6201" max="6201" width="10.7109375" customWidth="1"/>
    <col min="6204" max="6205" width="10.7109375" customWidth="1"/>
    <col min="6207" max="6209" width="10.7109375" customWidth="1"/>
    <col min="6212" max="6213" width="10.7109375" customWidth="1"/>
    <col min="6217" max="6217" width="10.7109375" customWidth="1"/>
    <col min="6220" max="6232" width="10.7109375" customWidth="1"/>
    <col min="6236" max="6237" width="10.7109375" customWidth="1"/>
    <col min="6239" max="6241" width="10.7109375" customWidth="1"/>
    <col min="6244" max="6245" width="10.7109375" customWidth="1"/>
    <col min="6249" max="6249" width="10.7109375" customWidth="1"/>
    <col min="6252" max="6260" width="10.7109375" customWidth="1"/>
    <col min="6262" max="6262" width="10.7109375" customWidth="1"/>
    <col min="6264" max="6264" width="10.7109375" customWidth="1"/>
    <col min="6268" max="6269" width="10.7109375" customWidth="1"/>
    <col min="6271" max="6273" width="10.7109375" customWidth="1"/>
    <col min="6276" max="6277" width="10.7109375" customWidth="1"/>
    <col min="6281" max="6281" width="10.7109375" customWidth="1"/>
    <col min="6284" max="6295" width="10.7109375" customWidth="1"/>
    <col min="6300" max="6301" width="10.7109375" customWidth="1"/>
    <col min="6303" max="6305" width="10.7109375" customWidth="1"/>
    <col min="6308" max="6309" width="10.7109375" customWidth="1"/>
    <col min="6313" max="6313" width="10.7109375" customWidth="1"/>
    <col min="6316" max="6324" width="10.7109375" customWidth="1"/>
    <col min="6326" max="6326" width="10.7109375" customWidth="1"/>
    <col min="6332" max="6333" width="10.7109375" customWidth="1"/>
    <col min="6335" max="6337" width="10.7109375" customWidth="1"/>
    <col min="6340" max="6341" width="10.7109375" customWidth="1"/>
    <col min="6345" max="6345" width="10.7109375" customWidth="1"/>
    <col min="6348" max="6356" width="10.7109375" customWidth="1"/>
    <col min="6361" max="6365" width="10.7109375" customWidth="1"/>
    <col min="6368" max="6368" width="10.7109375" customWidth="1"/>
    <col min="6371" max="6371" width="10.7109375" customWidth="1"/>
    <col min="6378" max="6378" width="10.7109375" customWidth="1"/>
    <col min="6380" max="6381" width="10.7109375" customWidth="1"/>
    <col min="6383" max="6390" width="10.7109375" customWidth="1"/>
    <col min="6392" max="6395" width="10.7109375" customWidth="1"/>
    <col min="6397" max="6397" width="10.7109375" customWidth="1"/>
    <col min="6399" max="6401" width="10.7109375" customWidth="1"/>
    <col min="6404" max="6405" width="10.7109375" customWidth="1"/>
    <col min="6409" max="6409" width="10.7109375" customWidth="1"/>
    <col min="6412" max="6420" width="10.7109375" customWidth="1"/>
    <col min="6422" max="6423" width="10.7109375" customWidth="1"/>
    <col min="6425" max="6427" width="10.7109375" customWidth="1"/>
    <col min="6429" max="6429" width="10.7109375" customWidth="1"/>
    <col min="6431" max="6433" width="10.7109375" customWidth="1"/>
    <col min="6436" max="6437" width="10.7109375" customWidth="1"/>
    <col min="6441" max="6441" width="10.7109375" customWidth="1"/>
    <col min="6444" max="6453" width="10.7109375" customWidth="1"/>
    <col min="6455" max="6455" width="10.7109375" customWidth="1"/>
    <col min="6457" max="6458" width="10.7109375" customWidth="1"/>
    <col min="6460" max="6461" width="10.7109375" customWidth="1"/>
    <col min="6463" max="6463" width="10.7109375" customWidth="1"/>
    <col min="6466" max="6466" width="10.7109375" customWidth="1"/>
    <col min="6468" max="6468" width="10.7109375" customWidth="1"/>
    <col min="6474" max="6474" width="10.7109375" customWidth="1"/>
    <col min="6476" max="6477" width="10.7109375" customWidth="1"/>
    <col min="6479" max="6488" width="10.7109375" customWidth="1"/>
    <col min="6490" max="6491" width="10.7109375" customWidth="1"/>
    <col min="6493" max="6493" width="10.7109375" customWidth="1"/>
    <col min="6495" max="6497" width="10.7109375" customWidth="1"/>
    <col min="6500" max="6501" width="10.7109375" customWidth="1"/>
    <col min="6505" max="6505" width="10.7109375" customWidth="1"/>
    <col min="6508" max="6516" width="10.7109375" customWidth="1"/>
    <col min="6519" max="6524" width="10.7109375" customWidth="1"/>
    <col min="6526" max="6527" width="10.7109375" customWidth="1"/>
    <col min="6529" max="6529" width="10.7109375" customWidth="1"/>
    <col min="6532" max="6536" width="10.7109375" customWidth="1"/>
    <col min="6538" max="6539" width="10.7109375" customWidth="1"/>
    <col min="6541" max="6541" width="10.7109375" customWidth="1"/>
    <col min="6543" max="6550" width="10.7109375" customWidth="1"/>
    <col min="6552" max="6552" width="10.7109375" customWidth="1"/>
    <col min="6554" max="6555" width="10.7109375" customWidth="1"/>
    <col min="6557" max="6557" width="10.7109375" customWidth="1"/>
    <col min="6559" max="6561" width="10.7109375" customWidth="1"/>
    <col min="6564" max="6565" width="10.7109375" customWidth="1"/>
    <col min="6569" max="6569" width="10.7109375" customWidth="1"/>
    <col min="6572" max="6580" width="10.7109375" customWidth="1"/>
    <col min="6584" max="6584" width="10.7109375" customWidth="1"/>
    <col min="6586" max="6587" width="10.7109375" customWidth="1"/>
    <col min="6589" max="6589" width="10.7109375" customWidth="1"/>
    <col min="6591" max="6593" width="10.7109375" customWidth="1"/>
    <col min="6596" max="6597" width="10.7109375" customWidth="1"/>
    <col min="6601" max="6601" width="10.7109375" customWidth="1"/>
    <col min="6604" max="6613" width="10.7109375" customWidth="1"/>
    <col min="6615" max="6615" width="10.7109375" customWidth="1"/>
    <col min="6618" max="6619" width="10.7109375" customWidth="1"/>
    <col min="6621" max="6621" width="10.7109375" customWidth="1"/>
    <col min="6623" max="6625" width="10.7109375" customWidth="1"/>
    <col min="6628" max="6629" width="10.7109375" customWidth="1"/>
    <col min="6633" max="6633" width="10.7109375" customWidth="1"/>
    <col min="6636" max="6645" width="10.7109375" customWidth="1"/>
    <col min="6650" max="6651" width="10.7109375" customWidth="1"/>
    <col min="6653" max="6653" width="10.7109375" customWidth="1"/>
    <col min="6655" max="6657" width="10.7109375" customWidth="1"/>
    <col min="6660" max="6661" width="10.7109375" customWidth="1"/>
    <col min="6665" max="6665" width="10.7109375" customWidth="1"/>
    <col min="6668" max="6676" width="10.7109375" customWidth="1"/>
    <col min="6678" max="6681" width="10.7109375" customWidth="1"/>
    <col min="6683" max="6683" width="10.7109375" customWidth="1"/>
    <col min="6685" max="6685" width="10.7109375" customWidth="1"/>
    <col min="6687" max="6689" width="10.7109375" customWidth="1"/>
    <col min="6692" max="6693" width="10.7109375" customWidth="1"/>
    <col min="6697" max="6697" width="10.7109375" customWidth="1"/>
    <col min="6700" max="6708" width="10.7109375" customWidth="1"/>
    <col min="6710" max="6710" width="10.7109375" customWidth="1"/>
    <col min="6712" max="6713" width="10.7109375" customWidth="1"/>
    <col min="6715" max="6715" width="10.7109375" customWidth="1"/>
    <col min="6717" max="6717" width="10.7109375" customWidth="1"/>
    <col min="6719" max="6721" width="10.7109375" customWidth="1"/>
    <col min="6724" max="6725" width="10.7109375" customWidth="1"/>
    <col min="6729" max="6729" width="10.7109375" customWidth="1"/>
    <col min="6732" max="6741" width="10.7109375" customWidth="1"/>
    <col min="6743" max="6743" width="10.7109375" customWidth="1"/>
    <col min="6745" max="6745" width="10.7109375" customWidth="1"/>
    <col min="6747" max="6747" width="10.7109375" customWidth="1"/>
    <col min="6749" max="6749" width="10.7109375" customWidth="1"/>
    <col min="6751" max="6753" width="10.7109375" customWidth="1"/>
    <col min="6756" max="6757" width="10.7109375" customWidth="1"/>
    <col min="6761" max="6761" width="10.7109375" customWidth="1"/>
    <col min="6764" max="6772" width="10.7109375" customWidth="1"/>
    <col min="6777" max="6777" width="10.7109375" customWidth="1"/>
    <col min="6779" max="6779" width="10.7109375" customWidth="1"/>
    <col min="6781" max="6781" width="10.7109375" customWidth="1"/>
    <col min="6783" max="6785" width="10.7109375" customWidth="1"/>
    <col min="6788" max="6789" width="10.7109375" customWidth="1"/>
    <col min="6793" max="6793" width="10.7109375" customWidth="1"/>
    <col min="6796" max="6805" width="10.7109375" customWidth="1"/>
    <col min="6807" max="6808" width="10.7109375" customWidth="1"/>
    <col min="6811" max="6811" width="10.7109375" customWidth="1"/>
    <col min="6813" max="6813" width="10.7109375" customWidth="1"/>
    <col min="6815" max="6817" width="10.7109375" customWidth="1"/>
    <col min="6820" max="6821" width="10.7109375" customWidth="1"/>
    <col min="6825" max="6825" width="10.7109375" customWidth="1"/>
    <col min="6828" max="6837" width="10.7109375" customWidth="1"/>
    <col min="6840" max="6840" width="10.7109375" customWidth="1"/>
    <col min="6843" max="6843" width="10.7109375" customWidth="1"/>
    <col min="6845" max="6845" width="10.7109375" customWidth="1"/>
    <col min="6847" max="6849" width="10.7109375" customWidth="1"/>
    <col min="6852" max="6853" width="10.7109375" customWidth="1"/>
    <col min="6857" max="6857" width="10.7109375" customWidth="1"/>
    <col min="6860" max="6869" width="10.7109375" customWidth="1"/>
    <col min="6871" max="6871" width="10.7109375" customWidth="1"/>
    <col min="6875" max="6875" width="10.7109375" customWidth="1"/>
    <col min="6877" max="6877" width="10.7109375" customWidth="1"/>
    <col min="6879" max="6881" width="10.7109375" customWidth="1"/>
    <col min="6884" max="6885" width="10.7109375" customWidth="1"/>
    <col min="6889" max="6889" width="10.7109375" customWidth="1"/>
    <col min="6892" max="6900" width="10.7109375" customWidth="1"/>
    <col min="6903" max="6903" width="10.7109375" customWidth="1"/>
    <col min="6905" max="6905" width="10.7109375" customWidth="1"/>
    <col min="6907" max="6908" width="10.7109375" customWidth="1"/>
    <col min="6913" max="6913" width="10.7109375" customWidth="1"/>
    <col min="6917" max="6920" width="10.7109375" customWidth="1"/>
    <col min="6922" max="6923" width="10.7109375" customWidth="1"/>
    <col min="6925" max="6925" width="10.7109375" customWidth="1"/>
    <col min="6927" max="6933" width="10.7109375" customWidth="1"/>
    <col min="6939" max="6939" width="10.7109375" customWidth="1"/>
    <col min="6941" max="6941" width="10.7109375" customWidth="1"/>
    <col min="6943" max="6945" width="10.7109375" customWidth="1"/>
    <col min="6948" max="6949" width="10.7109375" customWidth="1"/>
    <col min="6953" max="6953" width="10.7109375" customWidth="1"/>
    <col min="6956" max="6965" width="10.7109375" customWidth="1"/>
    <col min="6967" max="6967" width="10.7109375" customWidth="1"/>
    <col min="6970" max="6971" width="10.7109375" customWidth="1"/>
    <col min="6973" max="6974" width="10.7109375" customWidth="1"/>
    <col min="6976" max="6980" width="10.7109375" customWidth="1"/>
    <col min="6983" max="6983" width="10.7109375" customWidth="1"/>
    <col min="6985" max="6985" width="10.7109375" customWidth="1"/>
    <col min="6988" max="6997" width="10.7109375" customWidth="1"/>
    <col min="6999" max="6999" width="10.7109375" customWidth="1"/>
    <col min="7002" max="7003" width="10.7109375" customWidth="1"/>
    <col min="7005" max="7006" width="10.7109375" customWidth="1"/>
    <col min="7008" max="7012" width="10.7109375" customWidth="1"/>
    <col min="7015" max="7015" width="10.7109375" customWidth="1"/>
    <col min="7017" max="7017" width="10.7109375" customWidth="1"/>
    <col min="7020" max="7034" width="10.7109375" customWidth="1"/>
    <col min="7037" max="7037" width="10.7109375" customWidth="1"/>
    <col min="7039" max="7041" width="10.7109375" customWidth="1"/>
    <col min="7044" max="7045" width="10.7109375" customWidth="1"/>
    <col min="7049" max="7049" width="10.7109375" customWidth="1"/>
    <col min="7052" max="7058" width="10.7109375" customWidth="1"/>
    <col min="7060" max="7065" width="10.7109375" customWidth="1"/>
    <col min="7068" max="7068" width="10.7109375" customWidth="1"/>
    <col min="7071" max="7073" width="10.7109375" customWidth="1"/>
    <col min="7075" max="7077" width="10.7109375" customWidth="1"/>
    <col min="7079" max="7079" width="10.7109375" customWidth="1"/>
    <col min="7081" max="7082" width="10.7109375" customWidth="1"/>
    <col min="7085" max="7085" width="10.7109375" customWidth="1"/>
    <col min="7087" max="7087" width="10.7109375" customWidth="1"/>
    <col min="7089" max="7092" width="10.7109375" customWidth="1"/>
    <col min="7095" max="7095" width="10.7109375" customWidth="1"/>
    <col min="7099" max="7100" width="10.7109375" customWidth="1"/>
    <col min="7102" max="7104" width="10.7109375" customWidth="1"/>
    <col min="7106" max="7109" width="10.7109375" customWidth="1"/>
    <col min="7113" max="7113" width="10.7109375" customWidth="1"/>
    <col min="7116" max="7125" width="10.7109375" customWidth="1"/>
    <col min="7127" max="7127" width="10.7109375" customWidth="1"/>
    <col min="7130" max="7131" width="10.7109375" customWidth="1"/>
    <col min="7133" max="7134" width="10.7109375" customWidth="1"/>
    <col min="7136" max="7140" width="10.7109375" customWidth="1"/>
    <col min="7143" max="7143" width="10.7109375" customWidth="1"/>
    <col min="7145" max="7145" width="10.7109375" customWidth="1"/>
    <col min="7148" max="7158" width="10.7109375" customWidth="1"/>
    <col min="7160" max="7160" width="10.7109375" customWidth="1"/>
    <col min="7162" max="7164" width="10.7109375" customWidth="1"/>
    <col min="7167" max="7169" width="10.7109375" customWidth="1"/>
    <col min="7172" max="7173" width="10.7109375" customWidth="1"/>
    <col min="7177" max="7177" width="10.7109375" customWidth="1"/>
    <col min="7180" max="7189" width="10.7109375" customWidth="1"/>
    <col min="7191" max="7191" width="10.7109375" customWidth="1"/>
    <col min="7194" max="7195" width="10.7109375" customWidth="1"/>
    <col min="7197" max="7198" width="10.7109375" customWidth="1"/>
    <col min="7200" max="7204" width="10.7109375" customWidth="1"/>
    <col min="7207" max="7207" width="10.7109375" customWidth="1"/>
    <col min="7209" max="7209" width="10.7109375" customWidth="1"/>
    <col min="7212" max="7218" width="10.7109375" customWidth="1"/>
    <col min="7220" max="7220" width="10.7109375" customWidth="1"/>
    <col min="7222" max="7222" width="10.7109375" customWidth="1"/>
    <col min="7226" max="7226" width="10.7109375" customWidth="1"/>
    <col min="7228" max="7229" width="10.7109375" customWidth="1"/>
    <col min="7233" max="7233" width="10.7109375" customWidth="1"/>
    <col min="7235" max="7237" width="10.7109375" customWidth="1"/>
    <col min="7239" max="7239" width="10.7109375" customWidth="1"/>
    <col min="7241" max="7242" width="10.7109375" customWidth="1"/>
    <col min="7245" max="7245" width="10.7109375" customWidth="1"/>
    <col min="7247" max="7247" width="10.7109375" customWidth="1"/>
    <col min="7249" max="7312" width="10.7109375" customWidth="1"/>
    <col min="7314" max="7412" width="10.7109375" customWidth="1"/>
    <col min="7416" max="7416" width="10.7109375" customWidth="1"/>
    <col min="7418" max="7421" width="10.7109375" customWidth="1"/>
    <col min="7424" max="7425" width="10.7109375" customWidth="1"/>
    <col min="7427" max="7427" width="10.7109375" customWidth="1"/>
    <col min="7432" max="7432" width="10.7109375" customWidth="1"/>
    <col min="7436" max="7436" width="10.7109375" customWidth="1"/>
    <col min="7439" max="7444" width="10.7109375" customWidth="1"/>
    <col min="7447" max="7447" width="10.7109375" customWidth="1"/>
    <col min="7450" max="7452" width="10.7109375" customWidth="1"/>
    <col min="7455" max="7457" width="10.7109375" customWidth="1"/>
    <col min="7460" max="7461" width="10.7109375" customWidth="1"/>
    <col min="7465" max="7465" width="10.7109375" customWidth="1"/>
    <col min="7468" max="7478" width="10.7109375" customWidth="1"/>
    <col min="7482" max="7484" width="10.7109375" customWidth="1"/>
    <col min="7487" max="7489" width="10.7109375" customWidth="1"/>
    <col min="7492" max="7493" width="10.7109375" customWidth="1"/>
    <col min="7497" max="7497" width="10.7109375" customWidth="1"/>
    <col min="7500" max="7509" width="10.7109375" customWidth="1"/>
    <col min="7514" max="7516" width="10.7109375" customWidth="1"/>
    <col min="7519" max="7521" width="10.7109375" customWidth="1"/>
    <col min="7524" max="7525" width="10.7109375" customWidth="1"/>
    <col min="7529" max="7529" width="10.7109375" customWidth="1"/>
    <col min="7532" max="7540" width="10.7109375" customWidth="1"/>
    <col min="7546" max="7548" width="10.7109375" customWidth="1"/>
    <col min="7551" max="7553" width="10.7109375" customWidth="1"/>
    <col min="7556" max="7557" width="10.7109375" customWidth="1"/>
    <col min="7561" max="7561" width="10.7109375" customWidth="1"/>
    <col min="7564" max="7572" width="10.7109375" customWidth="1"/>
    <col min="7574" max="7577" width="10.7109375" customWidth="1"/>
    <col min="7579" max="7580" width="10.7109375" customWidth="1"/>
    <col min="7583" max="7585" width="10.7109375" customWidth="1"/>
    <col min="7588" max="7589" width="10.7109375" customWidth="1"/>
    <col min="7593" max="7593" width="10.7109375" customWidth="1"/>
    <col min="7596" max="7605" width="10.7109375" customWidth="1"/>
    <col min="7607" max="7609" width="10.7109375" customWidth="1"/>
    <col min="7611" max="7612" width="10.7109375" customWidth="1"/>
    <col min="7615" max="7617" width="10.7109375" customWidth="1"/>
    <col min="7620" max="7621" width="10.7109375" customWidth="1"/>
    <col min="7625" max="7625" width="10.7109375" customWidth="1"/>
    <col min="7628" max="7634" width="10.7109375" customWidth="1"/>
    <col min="7636" max="7641" width="10.7109375" customWidth="1"/>
    <col min="7644" max="7644" width="10.7109375" customWidth="1"/>
    <col min="7647" max="7649" width="10.7109375" customWidth="1"/>
    <col min="7651" max="7653" width="10.7109375" customWidth="1"/>
    <col min="7655" max="7655" width="10.7109375" customWidth="1"/>
    <col min="7657" max="7658" width="10.7109375" customWidth="1"/>
    <col min="7661" max="7661" width="10.7109375" customWidth="1"/>
    <col min="7663" max="7663" width="10.7109375" customWidth="1"/>
    <col min="7665" max="7669" width="10.7109375" customWidth="1"/>
    <col min="7671" max="7671" width="10.7109375" customWidth="1"/>
    <col min="7674" max="7675" width="10.7109375" customWidth="1"/>
    <col min="7677" max="7678" width="10.7109375" customWidth="1"/>
    <col min="7680" max="7684" width="10.7109375" customWidth="1"/>
    <col min="7687" max="7687" width="10.7109375" customWidth="1"/>
    <col min="7689" max="7689" width="10.7109375" customWidth="1"/>
    <col min="7692" max="7700" width="10.7109375" customWidth="1"/>
    <col min="7702" max="7702" width="10.7109375" customWidth="1"/>
    <col min="7704" max="7705" width="10.7109375" customWidth="1"/>
    <col min="7707" max="7708" width="10.7109375" customWidth="1"/>
    <col min="7711" max="7713" width="10.7109375" customWidth="1"/>
    <col min="7716" max="7717" width="10.7109375" customWidth="1"/>
    <col min="7721" max="7721" width="10.7109375" customWidth="1"/>
    <col min="7724" max="7733" width="10.7109375" customWidth="1"/>
    <col min="7735" max="7735" width="10.7109375" customWidth="1"/>
    <col min="7738" max="7739" width="10.7109375" customWidth="1"/>
    <col min="7741" max="7742" width="10.7109375" customWidth="1"/>
    <col min="7744" max="7748" width="10.7109375" customWidth="1"/>
    <col min="7751" max="7751" width="10.7109375" customWidth="1"/>
    <col min="7753" max="7753" width="10.7109375" customWidth="1"/>
    <col min="7756" max="7765" width="10.7109375" customWidth="1"/>
    <col min="7768" max="7770" width="10.7109375" customWidth="1"/>
    <col min="7773" max="7773" width="10.7109375" customWidth="1"/>
    <col min="7775" max="7780" width="10.7109375" customWidth="1"/>
    <col min="7783" max="7783" width="10.7109375" customWidth="1"/>
    <col min="7785" max="7785" width="10.7109375" customWidth="1"/>
    <col min="7788" max="7797" width="10.7109375" customWidth="1"/>
    <col min="7800" max="7801" width="10.7109375" customWidth="1"/>
    <col min="7803" max="7804" width="10.7109375" customWidth="1"/>
    <col min="7807" max="7809" width="10.7109375" customWidth="1"/>
    <col min="7812" max="7813" width="10.7109375" customWidth="1"/>
    <col min="7817" max="7817" width="10.7109375" customWidth="1"/>
    <col min="7820" max="7829" width="10.7109375" customWidth="1"/>
    <col min="7831" max="7833" width="10.7109375" customWidth="1"/>
    <col min="7835" max="7838" width="10.7109375" customWidth="1"/>
    <col min="7840" max="7841" width="10.7109375" customWidth="1"/>
    <col min="7844" max="7845" width="10.7109375" customWidth="1"/>
    <col min="7849" max="7849" width="10.7109375" customWidth="1"/>
    <col min="7852" max="7862" width="10.7109375" customWidth="1"/>
    <col min="7864" max="7865" width="10.7109375" customWidth="1"/>
    <col min="7867" max="7870" width="10.7109375" customWidth="1"/>
    <col min="7872" max="7873" width="10.7109375" customWidth="1"/>
    <col min="7876" max="7877" width="10.7109375" customWidth="1"/>
    <col min="7881" max="7881" width="10.7109375" customWidth="1"/>
    <col min="7884" max="7892" width="10.7109375" customWidth="1"/>
    <col min="7895" max="7895" width="10.7109375" customWidth="1"/>
    <col min="7897" max="7897" width="10.7109375" customWidth="1"/>
    <col min="7899" max="7902" width="10.7109375" customWidth="1"/>
    <col min="7904" max="7905" width="10.7109375" customWidth="1"/>
    <col min="7908" max="7909" width="10.7109375" customWidth="1"/>
    <col min="7913" max="7913" width="10.7109375" customWidth="1"/>
    <col min="7916" max="7925" width="10.7109375" customWidth="1"/>
    <col min="7929" max="7929" width="10.7109375" customWidth="1"/>
    <col min="7931" max="7934" width="10.7109375" customWidth="1"/>
    <col min="7936" max="7937" width="10.7109375" customWidth="1"/>
    <col min="7940" max="7941" width="10.7109375" customWidth="1"/>
    <col min="7945" max="7945" width="10.7109375" customWidth="1"/>
    <col min="7948" max="7957" width="10.7109375" customWidth="1"/>
    <col min="7959" max="7959" width="10.7109375" customWidth="1"/>
    <col min="7962" max="7963" width="10.7109375" customWidth="1"/>
    <col min="7965" max="7966" width="10.7109375" customWidth="1"/>
    <col min="7968" max="7972" width="10.7109375" customWidth="1"/>
    <col min="7975" max="7975" width="10.7109375" customWidth="1"/>
    <col min="7977" max="7977" width="10.7109375" customWidth="1"/>
    <col min="7980" max="7988" width="10.7109375" customWidth="1"/>
    <col min="7993" max="7993" width="10.7109375" customWidth="1"/>
    <col min="7995" max="7998" width="10.7109375" customWidth="1"/>
    <col min="8000" max="8001" width="10.7109375" customWidth="1"/>
    <col min="8004" max="8005" width="10.7109375" customWidth="1"/>
    <col min="8009" max="8009" width="10.7109375" customWidth="1"/>
    <col min="8012" max="8021" width="10.7109375" customWidth="1"/>
    <col min="8023" max="8023" width="10.7109375" customWidth="1"/>
    <col min="8026" max="8027" width="10.7109375" customWidth="1"/>
    <col min="8029" max="8030" width="10.7109375" customWidth="1"/>
    <col min="8032" max="8036" width="10.7109375" customWidth="1"/>
    <col min="8039" max="8039" width="10.7109375" customWidth="1"/>
    <col min="8041" max="8041" width="10.7109375" customWidth="1"/>
    <col min="8044" max="8053" width="10.7109375" customWidth="1"/>
    <col min="8055" max="8055" width="10.7109375" customWidth="1"/>
    <col min="8058" max="8059" width="10.7109375" customWidth="1"/>
    <col min="8061" max="8062" width="10.7109375" customWidth="1"/>
    <col min="8064" max="8068" width="10.7109375" customWidth="1"/>
    <col min="8071" max="8071" width="10.7109375" customWidth="1"/>
    <col min="8073" max="8073" width="10.7109375" customWidth="1"/>
    <col min="8076" max="8088" width="10.7109375" customWidth="1"/>
    <col min="8091" max="8094" width="10.7109375" customWidth="1"/>
    <col min="8096" max="8097" width="10.7109375" customWidth="1"/>
    <col min="8100" max="8101" width="10.7109375" customWidth="1"/>
    <col min="8105" max="8105" width="10.7109375" customWidth="1"/>
    <col min="8108" max="8117" width="10.7109375" customWidth="1"/>
    <col min="8119" max="8119" width="10.7109375" customWidth="1"/>
    <col min="8122" max="8123" width="10.7109375" customWidth="1"/>
    <col min="8125" max="8126" width="10.7109375" customWidth="1"/>
    <col min="8128" max="8132" width="10.7109375" customWidth="1"/>
    <col min="8135" max="8135" width="10.7109375" customWidth="1"/>
    <col min="8137" max="8137" width="10.7109375" customWidth="1"/>
    <col min="8140" max="8148" width="10.7109375" customWidth="1"/>
    <col min="8150" max="8150" width="10.7109375" customWidth="1"/>
    <col min="8152" max="8153" width="10.7109375" customWidth="1"/>
    <col min="8155" max="8158" width="10.7109375" customWidth="1"/>
    <col min="8160" max="8161" width="10.7109375" customWidth="1"/>
    <col min="8164" max="8165" width="10.7109375" customWidth="1"/>
    <col min="8169" max="8169" width="10.7109375" customWidth="1"/>
    <col min="8172" max="8181" width="10.7109375" customWidth="1"/>
    <col min="8183" max="8183" width="10.7109375" customWidth="1"/>
    <col min="8186" max="8187" width="10.7109375" customWidth="1"/>
    <col min="8189" max="8190" width="10.7109375" customWidth="1"/>
    <col min="8192" max="8196" width="10.7109375" customWidth="1"/>
    <col min="8199" max="8199" width="10.7109375" customWidth="1"/>
    <col min="8201" max="8201" width="10.7109375" customWidth="1"/>
    <col min="8204" max="8212" width="10.7109375" customWidth="1"/>
    <col min="8216" max="8218" width="10.7109375" customWidth="1"/>
    <col min="8222" max="8223" width="10.7109375" customWidth="1"/>
    <col min="8226" max="8226" width="10.7109375" customWidth="1"/>
    <col min="8228" max="8228" width="10.7109375" customWidth="1"/>
    <col min="8234" max="8234" width="10.7109375" customWidth="1"/>
    <col min="8236" max="8237" width="10.7109375" customWidth="1"/>
    <col min="8239" max="8245" width="10.7109375" customWidth="1"/>
    <col min="8247" max="8247" width="10.7109375" customWidth="1"/>
    <col min="8250" max="8251" width="10.7109375" customWidth="1"/>
    <col min="8253" max="8254" width="10.7109375" customWidth="1"/>
    <col min="8256" max="8260" width="10.7109375" customWidth="1"/>
    <col min="8263" max="8263" width="10.7109375" customWidth="1"/>
    <col min="8265" max="8265" width="10.7109375" customWidth="1"/>
    <col min="8268" max="8276" width="10.7109375" customWidth="1"/>
    <col min="8279" max="8280" width="10.7109375" customWidth="1"/>
    <col min="8283" max="8286" width="10.7109375" customWidth="1"/>
    <col min="8288" max="8289" width="10.7109375" customWidth="1"/>
    <col min="8292" max="8293" width="10.7109375" customWidth="1"/>
    <col min="8297" max="8297" width="10.7109375" customWidth="1"/>
    <col min="8300" max="8308" width="10.7109375" customWidth="1"/>
    <col min="8311" max="8311" width="10.7109375" customWidth="1"/>
    <col min="8313" max="8314" width="10.7109375" customWidth="1"/>
    <col min="8318" max="8319" width="10.7109375" customWidth="1"/>
    <col min="8322" max="8322" width="10.7109375" customWidth="1"/>
    <col min="8324" max="8324" width="10.7109375" customWidth="1"/>
    <col min="8330" max="8330" width="10.7109375" customWidth="1"/>
    <col min="8332" max="8333" width="10.7109375" customWidth="1"/>
    <col min="8335" max="8341" width="10.7109375" customWidth="1"/>
    <col min="8344" max="8346" width="10.7109375" customWidth="1"/>
    <col min="8349" max="8349" width="10.7109375" customWidth="1"/>
    <col min="8351" max="8356" width="10.7109375" customWidth="1"/>
    <col min="8359" max="8359" width="10.7109375" customWidth="1"/>
    <col min="8361" max="8361" width="10.7109375" customWidth="1"/>
    <col min="8364" max="8372" width="10.7109375" customWidth="1"/>
    <col min="8374" max="8376" width="10.7109375" customWidth="1"/>
    <col min="8378" max="8381" width="10.7109375" customWidth="1"/>
    <col min="8386" max="8386" width="10.7109375" customWidth="1"/>
    <col min="8388" max="8392" width="10.7109375" customWidth="1"/>
    <col min="8394" max="8395" width="10.7109375" customWidth="1"/>
    <col min="8397" max="8397" width="10.7109375" customWidth="1"/>
    <col min="8399" max="8405" width="10.7109375" customWidth="1"/>
    <col min="8407" max="8407" width="10.7109375" customWidth="1"/>
    <col min="8410" max="8411" width="10.7109375" customWidth="1"/>
    <col min="8413" max="8414" width="10.7109375" customWidth="1"/>
    <col min="8416" max="8420" width="10.7109375" customWidth="1"/>
    <col min="8423" max="8423" width="10.7109375" customWidth="1"/>
    <col min="8425" max="8425" width="10.7109375" customWidth="1"/>
    <col min="8428" max="8437" width="10.7109375" customWidth="1"/>
    <col min="8439" max="8439" width="10.7109375" customWidth="1"/>
    <col min="8442" max="8443" width="10.7109375" customWidth="1"/>
    <col min="8447" max="8448" width="10.7109375" customWidth="1"/>
    <col min="8450" max="8451" width="10.7109375" customWidth="1"/>
    <col min="8453" max="8453" width="10.7109375" customWidth="1"/>
    <col min="8456" max="8458" width="10.7109375" customWidth="1"/>
    <col min="8461" max="8461" width="10.7109375" customWidth="1"/>
    <col min="8463" max="8528" width="10.7109375" customWidth="1"/>
    <col min="8530" max="8530" width="10.7109375" customWidth="1"/>
    <col min="8533" max="8533" width="10.7109375" customWidth="1"/>
    <col min="8535" max="8629" width="10.7109375" customWidth="1"/>
    <col min="8631" max="8631" width="10.7109375" customWidth="1"/>
    <col min="8634" max="8635" width="10.7109375" customWidth="1"/>
    <col min="8637" max="8638" width="10.7109375" customWidth="1"/>
    <col min="8640" max="8644" width="10.7109375" customWidth="1"/>
    <col min="8647" max="8647" width="10.7109375" customWidth="1"/>
    <col min="8649" max="8649" width="10.7109375" customWidth="1"/>
    <col min="8652" max="8661" width="10.7109375" customWidth="1"/>
    <col min="8665" max="8665" width="10.7109375" customWidth="1"/>
    <col min="8670" max="8671" width="10.7109375" customWidth="1"/>
    <col min="8673" max="8673" width="10.7109375" customWidth="1"/>
    <col min="8676" max="8677" width="10.7109375" customWidth="1"/>
    <col min="8681" max="8681" width="10.7109375" customWidth="1"/>
    <col min="8684" max="8693" width="10.7109375" customWidth="1"/>
    <col min="8695" max="8695" width="10.7109375" customWidth="1"/>
    <col min="8698" max="8699" width="10.7109375" customWidth="1"/>
    <col min="8701" max="8702" width="10.7109375" customWidth="1"/>
    <col min="8704" max="8708" width="10.7109375" customWidth="1"/>
    <col min="8711" max="8711" width="10.7109375" customWidth="1"/>
    <col min="8713" max="8713" width="10.7109375" customWidth="1"/>
    <col min="8716" max="8724" width="10.7109375" customWidth="1"/>
    <col min="8729" max="8729" width="10.7109375" customWidth="1"/>
    <col min="8734" max="8735" width="10.7109375" customWidth="1"/>
    <col min="8737" max="8737" width="10.7109375" customWidth="1"/>
    <col min="8740" max="8741" width="10.7109375" customWidth="1"/>
    <col min="8745" max="8745" width="10.7109375" customWidth="1"/>
    <col min="8748" max="8756" width="10.7109375" customWidth="1"/>
    <col min="8758" max="8758" width="10.7109375" customWidth="1"/>
    <col min="8762" max="8764" width="10.7109375" customWidth="1"/>
    <col min="8766" max="8768" width="10.7109375" customWidth="1"/>
    <col min="8773" max="8776" width="10.7109375" customWidth="1"/>
    <col min="8778" max="8779" width="10.7109375" customWidth="1"/>
    <col min="8781" max="8781" width="10.7109375" customWidth="1"/>
    <col min="8783" max="8785" width="10.7109375" customWidth="1"/>
    <col min="8787" max="8789" width="10.7109375" customWidth="1"/>
    <col min="8791" max="8791" width="10.7109375" customWidth="1"/>
    <col min="8793" max="8798" width="10.7109375" customWidth="1"/>
    <col min="8800" max="8800" width="10.7109375" customWidth="1"/>
    <col min="8803" max="8803" width="10.7109375" customWidth="1"/>
    <col min="8805" max="8807" width="10.7109375" customWidth="1"/>
    <col min="8810" max="8819" width="10.7109375" customWidth="1"/>
    <col min="8822" max="8822" width="10.7109375" customWidth="1"/>
    <col min="8825" max="8825" width="10.7109375" customWidth="1"/>
    <col min="8829" max="8829" width="10.7109375" customWidth="1"/>
    <col min="8831" max="8831" width="10.7109375" customWidth="1"/>
    <col min="8834" max="8834" width="10.7109375" customWidth="1"/>
    <col min="8838" max="8838" width="10.7109375" customWidth="1"/>
    <col min="8840" max="8841" width="10.7109375" customWidth="1"/>
    <col min="8844" max="8844" width="10.7109375" customWidth="1"/>
    <col min="8846" max="8847" width="10.7109375" customWidth="1"/>
    <col min="8849" max="8850" width="10.7109375" customWidth="1"/>
    <col min="8852" max="8853" width="10.7109375" customWidth="1"/>
    <col min="8856" max="8859" width="10.7109375" customWidth="1"/>
    <col min="8862" max="8862" width="10.7109375" customWidth="1"/>
    <col min="8866" max="8866" width="10.7109375" customWidth="1"/>
    <col min="8869" max="8869" width="10.7109375" customWidth="1"/>
    <col min="8871" max="8873" width="10.7109375" customWidth="1"/>
    <col min="8876" max="8877" width="10.7109375" customWidth="1"/>
    <col min="8879" max="8880" width="10.7109375" customWidth="1"/>
    <col min="8884" max="8912" width="10.7109375" customWidth="1"/>
    <col min="8914" max="8921" width="10.7109375" customWidth="1"/>
    <col min="8923" max="8951" width="10.7109375" customWidth="1"/>
    <col min="8955" max="8956" width="10.7109375" customWidth="1"/>
    <col min="8960" max="8960" width="10.7109375" customWidth="1"/>
    <col min="8962" max="8965" width="10.7109375" customWidth="1"/>
    <col min="8967" max="8967" width="10.7109375" customWidth="1"/>
    <col min="8969" max="8969" width="10.7109375" customWidth="1"/>
    <col min="8972" max="8976" width="10.7109375" customWidth="1"/>
    <col min="8978" max="9011" width="10.7109375" customWidth="1"/>
    <col min="9013" max="9014" width="10.7109375" customWidth="1"/>
    <col min="9016" max="9017" width="10.7109375" customWidth="1"/>
    <col min="9021" max="9022" width="10.7109375" customWidth="1"/>
    <col min="9024" max="9024" width="10.7109375" customWidth="1"/>
    <col min="9039" max="9039" width="10.7109375" customWidth="1"/>
    <col min="9041" max="9041" width="10.7109375" customWidth="1"/>
    <col min="9045" max="9045" width="10.7109375" customWidth="1"/>
    <col min="9047" max="9051" width="10.7109375" customWidth="1"/>
    <col min="9053" max="9056" width="10.7109375" customWidth="1"/>
    <col min="9058" max="9058" width="10.7109375" customWidth="1"/>
    <col min="9060" max="9062" width="10.7109375" customWidth="1"/>
    <col min="9064" max="9065" width="10.7109375" customWidth="1"/>
    <col min="9068" max="9068" width="10.7109375" customWidth="1"/>
    <col min="9070" max="9071" width="10.7109375" customWidth="1"/>
    <col min="9073" max="9077" width="10.7109375" customWidth="1"/>
    <col min="9079" max="9079" width="10.7109375" customWidth="1"/>
    <col min="9082" max="9083" width="10.7109375" customWidth="1"/>
    <col min="9087" max="9088" width="10.7109375" customWidth="1"/>
    <col min="9090" max="9091" width="10.7109375" customWidth="1"/>
    <col min="9093" max="9093" width="10.7109375" customWidth="1"/>
    <col min="9096" max="9098" width="10.7109375" customWidth="1"/>
    <col min="9101" max="9101" width="10.7109375" customWidth="1"/>
    <col min="9103" max="9139" width="10.7109375" customWidth="1"/>
    <col min="9141" max="9141" width="10.7109375" customWidth="1"/>
    <col min="9144" max="9145" width="10.7109375" customWidth="1"/>
    <col min="9149" max="9150" width="10.7109375" customWidth="1"/>
    <col min="9152" max="9152" width="10.7109375" customWidth="1"/>
    <col min="9167" max="9167" width="10.7109375" customWidth="1"/>
    <col min="9169" max="9169" width="10.7109375" customWidth="1"/>
    <col min="9171" max="9172" width="10.7109375" customWidth="1"/>
    <col min="9174" max="9174" width="10.7109375" customWidth="1"/>
    <col min="9176" max="9176" width="10.7109375" customWidth="1"/>
    <col min="9178" max="9179" width="10.7109375" customWidth="1"/>
    <col min="9181" max="9184" width="10.7109375" customWidth="1"/>
    <col min="9186" max="9186" width="10.7109375" customWidth="1"/>
    <col min="9188" max="9190" width="10.7109375" customWidth="1"/>
    <col min="9192" max="9193" width="10.7109375" customWidth="1"/>
    <col min="9196" max="9196" width="10.7109375" customWidth="1"/>
    <col min="9198" max="9199" width="10.7109375" customWidth="1"/>
    <col min="9201" max="9203" width="10.7109375" customWidth="1"/>
    <col min="9209" max="9209" width="10.7109375" customWidth="1"/>
    <col min="9213" max="9214" width="10.7109375" customWidth="1"/>
    <col min="9216" max="9216" width="10.7109375" customWidth="1"/>
    <col min="9219" max="9221" width="10.7109375" customWidth="1"/>
    <col min="9223" max="9223" width="10.7109375" customWidth="1"/>
    <col min="9225" max="9226" width="10.7109375" customWidth="1"/>
    <col min="9229" max="9229" width="10.7109375" customWidth="1"/>
    <col min="9231" max="9231" width="10.7109375" customWidth="1"/>
    <col min="9234" max="9241" width="10.7109375" customWidth="1"/>
    <col min="9243" max="9267" width="10.7109375" customWidth="1"/>
    <col min="9270" max="9270" width="10.7109375" customWidth="1"/>
    <col min="9272" max="9273" width="10.7109375" customWidth="1"/>
    <col min="9277" max="9278" width="10.7109375" customWidth="1"/>
    <col min="9280" max="9280" width="10.7109375" customWidth="1"/>
    <col min="9295" max="9295" width="10.7109375" customWidth="1"/>
    <col min="9297" max="9297" width="10.7109375" customWidth="1"/>
    <col min="9300" max="9300" width="10.7109375" customWidth="1"/>
    <col min="9306" max="9306" width="10.7109375" customWidth="1"/>
    <col min="9308" max="9312" width="10.7109375" customWidth="1"/>
    <col min="9317" max="9317" width="10.7109375" customWidth="1"/>
    <col min="9319" max="9319" width="10.7109375" customWidth="1"/>
    <col min="9321" max="9324" width="10.7109375" customWidth="1"/>
    <col min="9326" max="9327" width="10.7109375" customWidth="1"/>
    <col min="9329" max="9340" width="10.7109375" customWidth="1"/>
    <col min="9343" max="9343" width="10.7109375" customWidth="1"/>
    <col min="9345" max="9345" width="10.7109375" customWidth="1"/>
    <col min="9347" max="9348" width="10.7109375" customWidth="1"/>
    <col min="9350" max="9351" width="10.7109375" customWidth="1"/>
    <col min="9353" max="9353" width="10.7109375" customWidth="1"/>
    <col min="9356" max="9363" width="10.7109375" customWidth="1"/>
    <col min="9368" max="9392" width="10.7109375" customWidth="1"/>
    <col min="9396" max="9426" width="10.7109375" customWidth="1"/>
    <col min="9429" max="9429" width="10.7109375" customWidth="1"/>
    <col min="9431" max="9434" width="10.7109375" customWidth="1"/>
    <col min="9437" max="9440" width="10.7109375" customWidth="1"/>
    <col min="9442" max="9442" width="10.7109375" customWidth="1"/>
    <col min="9445" max="9448" width="10.7109375" customWidth="1"/>
    <col min="9450" max="9451" width="10.7109375" customWidth="1"/>
    <col min="9453" max="9453" width="10.7109375" customWidth="1"/>
    <col min="9455" max="9459" width="10.7109375" customWidth="1"/>
    <col min="9465" max="9465" width="10.7109375" customWidth="1"/>
    <col min="9469" max="9470" width="10.7109375" customWidth="1"/>
    <col min="9472" max="9472" width="10.7109375" customWidth="1"/>
    <col min="9475" max="9477" width="10.7109375" customWidth="1"/>
    <col min="9479" max="9479" width="10.7109375" customWidth="1"/>
    <col min="9481" max="9482" width="10.7109375" customWidth="1"/>
    <col min="9485" max="9485" width="10.7109375" customWidth="1"/>
    <col min="9487" max="9487" width="10.7109375" customWidth="1"/>
    <col min="9489" max="9520" width="10.7109375" customWidth="1"/>
    <col min="9522" max="9529" width="10.7109375" customWidth="1"/>
    <col min="9531" max="9553" width="10.7109375" customWidth="1"/>
    <col min="9561" max="9562" width="10.7109375" customWidth="1"/>
    <col min="9565" max="9568" width="10.7109375" customWidth="1"/>
    <col min="9570" max="9570" width="10.7109375" customWidth="1"/>
    <col min="9572" max="9574" width="10.7109375" customWidth="1"/>
    <col min="9576" max="9577" width="10.7109375" customWidth="1"/>
    <col min="9580" max="9580" width="10.7109375" customWidth="1"/>
    <col min="9582" max="9583" width="10.7109375" customWidth="1"/>
    <col min="9585" max="9589" width="10.7109375" customWidth="1"/>
    <col min="9591" max="9591" width="10.7109375" customWidth="1"/>
    <col min="9594" max="9595" width="10.7109375" customWidth="1"/>
    <col min="9599" max="9600" width="10.7109375" customWidth="1"/>
    <col min="9602" max="9603" width="10.7109375" customWidth="1"/>
    <col min="9605" max="9605" width="10.7109375" customWidth="1"/>
    <col min="9608" max="9610" width="10.7109375" customWidth="1"/>
    <col min="9613" max="9613" width="10.7109375" customWidth="1"/>
    <col min="9615" max="9651" width="10.7109375" customWidth="1"/>
    <col min="9656" max="9657" width="10.7109375" customWidth="1"/>
    <col min="9661" max="9662" width="10.7109375" customWidth="1"/>
    <col min="9664" max="9664" width="10.7109375" customWidth="1"/>
    <col min="9679" max="9679" width="10.7109375" customWidth="1"/>
    <col min="9681" max="9685" width="10.7109375" customWidth="1"/>
    <col min="9687" max="9687" width="10.7109375" customWidth="1"/>
    <col min="9690" max="9691" width="10.7109375" customWidth="1"/>
    <col min="9695" max="9696" width="10.7109375" customWidth="1"/>
    <col min="9698" max="9699" width="10.7109375" customWidth="1"/>
    <col min="9701" max="9701" width="10.7109375" customWidth="1"/>
    <col min="9704" max="9706" width="10.7109375" customWidth="1"/>
    <col min="9709" max="9709" width="10.7109375" customWidth="1"/>
    <col min="9711" max="9717" width="10.7109375" customWidth="1"/>
    <col min="9719" max="9719" width="10.7109375" customWidth="1"/>
    <col min="9721" max="9722" width="10.7109375" customWidth="1"/>
    <col min="9726" max="9728" width="10.7109375" customWidth="1"/>
    <col min="9731" max="9733" width="10.7109375" customWidth="1"/>
    <col min="9735" max="9735" width="10.7109375" customWidth="1"/>
    <col min="9737" max="9738" width="10.7109375" customWidth="1"/>
    <col min="9741" max="9741" width="10.7109375" customWidth="1"/>
    <col min="9743" max="9743" width="10.7109375" customWidth="1"/>
    <col min="9746" max="9747" width="10.7109375" customWidth="1"/>
    <col min="9749" max="9749" width="10.7109375" customWidth="1"/>
    <col min="9751" max="9751" width="10.7109375" customWidth="1"/>
    <col min="9754" max="9755" width="10.7109375" customWidth="1"/>
    <col min="9759" max="9760" width="10.7109375" customWidth="1"/>
    <col min="9762" max="9763" width="10.7109375" customWidth="1"/>
    <col min="9765" max="9765" width="10.7109375" customWidth="1"/>
    <col min="9768" max="9770" width="10.7109375" customWidth="1"/>
    <col min="9773" max="9773" width="10.7109375" customWidth="1"/>
    <col min="9775" max="9779" width="10.7109375" customWidth="1"/>
    <col min="9781" max="9781" width="10.7109375" customWidth="1"/>
    <col min="9783" max="9786" width="10.7109375" customWidth="1"/>
    <col min="9788" max="9788" width="10.7109375" customWidth="1"/>
    <col min="9790" max="9790" width="10.7109375" customWidth="1"/>
    <col min="9792" max="9792" width="10.7109375" customWidth="1"/>
    <col min="9807" max="9807" width="10.7109375" customWidth="1"/>
    <col min="9809" max="9809" width="10.7109375" customWidth="1"/>
    <col min="9812" max="9814" width="10.7109375" customWidth="1"/>
    <col min="9816" max="9824" width="10.7109375" customWidth="1"/>
    <col min="9826" max="9826" width="10.7109375" customWidth="1"/>
    <col min="9828" max="9830" width="10.7109375" customWidth="1"/>
    <col min="9832" max="9833" width="10.7109375" customWidth="1"/>
    <col min="9836" max="9836" width="10.7109375" customWidth="1"/>
    <col min="9838" max="9839" width="10.7109375" customWidth="1"/>
    <col min="9841" max="9849" width="10.7109375" customWidth="1"/>
    <col min="9851" max="9852" width="10.7109375" customWidth="1"/>
    <col min="9856" max="9856" width="10.7109375" customWidth="1"/>
    <col min="9858" max="9858" width="10.7109375" customWidth="1"/>
    <col min="9861" max="9861" width="10.7109375" customWidth="1"/>
    <col min="9864" max="9866" width="10.7109375" customWidth="1"/>
    <col min="9869" max="9869" width="10.7109375" customWidth="1"/>
    <col min="9871" max="9872" width="10.7109375" customWidth="1"/>
    <col min="9874" max="9875" width="10.7109375" customWidth="1"/>
    <col min="9877" max="9877" width="10.7109375" customWidth="1"/>
    <col min="9879" max="9879" width="10.7109375" customWidth="1"/>
    <col min="9882" max="9883" width="10.7109375" customWidth="1"/>
    <col min="9887" max="9888" width="10.7109375" customWidth="1"/>
    <col min="9890" max="9891" width="10.7109375" customWidth="1"/>
    <col min="9893" max="9893" width="10.7109375" customWidth="1"/>
    <col min="9896" max="9898" width="10.7109375" customWidth="1"/>
    <col min="9901" max="9901" width="10.7109375" customWidth="1"/>
    <col min="9903" max="9904" width="10.7109375" customWidth="1"/>
    <col min="9907" max="9908" width="10.7109375" customWidth="1"/>
    <col min="9911" max="9936" width="10.7109375" customWidth="1"/>
    <col min="9938" max="9940" width="10.7109375" customWidth="1"/>
    <col min="9946" max="9946" width="10.7109375" customWidth="1"/>
    <col min="9948" max="9948" width="10.7109375" customWidth="1"/>
    <col min="9950" max="9950" width="10.7109375" customWidth="1"/>
    <col min="9953" max="9954" width="10.7109375" customWidth="1"/>
    <col min="9956" max="9958" width="10.7109375" customWidth="1"/>
    <col min="9960" max="9961" width="10.7109375" customWidth="1"/>
    <col min="9964" max="9964" width="10.7109375" customWidth="1"/>
    <col min="9966" max="9967" width="10.7109375" customWidth="1"/>
    <col min="9969" max="9971" width="10.7109375" customWidth="1"/>
    <col min="9976" max="9976" width="10.7109375" customWidth="1"/>
    <col min="9978" max="9980" width="10.7109375" customWidth="1"/>
    <col min="9982" max="9982" width="10.7109375" customWidth="1"/>
    <col min="9984" max="9984" width="10.7109375" customWidth="1"/>
    <col min="9993" max="10006" width="10.7109375" customWidth="1"/>
    <col min="10008" max="10008" width="10.7109375" customWidth="1"/>
    <col min="10010" max="10012" width="10.7109375" customWidth="1"/>
    <col min="10014" max="10016" width="10.7109375" customWidth="1"/>
    <col min="10019" max="10021" width="10.7109375" customWidth="1"/>
    <col min="10023" max="10023" width="10.7109375" customWidth="1"/>
    <col min="10025" max="10026" width="10.7109375" customWidth="1"/>
    <col min="10029" max="10029" width="10.7109375" customWidth="1"/>
    <col min="10031" max="10031" width="10.7109375" customWidth="1"/>
    <col min="10034" max="10034" width="10.7109375" customWidth="1"/>
    <col min="10038" max="10065" width="10.7109375" customWidth="1"/>
    <col min="10067" max="10067" width="10.7109375" customWidth="1"/>
    <col min="10069" max="10102" width="10.7109375" customWidth="1"/>
    <col min="10104" max="10104" width="10.7109375" customWidth="1"/>
    <col min="10106" max="10109" width="10.7109375" customWidth="1"/>
    <col min="10111" max="10111" width="10.7109375" customWidth="1"/>
    <col min="10113" max="10114" width="10.7109375" customWidth="1"/>
    <col min="10117" max="10117" width="10.7109375" customWidth="1"/>
    <col min="10119" max="10121" width="10.7109375" customWidth="1"/>
    <col min="10124" max="10125" width="10.7109375" customWidth="1"/>
    <col min="10127" max="10132" width="10.7109375" customWidth="1"/>
    <col min="10134" max="10134" width="10.7109375" customWidth="1"/>
    <col min="10137" max="10137" width="10.7109375" customWidth="1"/>
    <col min="10141" max="10142" width="10.7109375" customWidth="1"/>
    <col min="10144" max="10144" width="10.7109375" customWidth="1"/>
    <col min="10159" max="10159" width="10.7109375" customWidth="1"/>
    <col min="10161" max="10162" width="10.7109375" customWidth="1"/>
    <col min="10165" max="10166" width="10.7109375" customWidth="1"/>
    <col min="10169" max="10169" width="10.7109375" customWidth="1"/>
    <col min="10173" max="10174" width="10.7109375" customWidth="1"/>
    <col min="10176" max="10176" width="10.7109375" customWidth="1"/>
    <col min="10191" max="10191" width="10.7109375" customWidth="1"/>
    <col min="10193" max="10224" width="10.7109375" customWidth="1"/>
    <col min="10226" max="10260" width="10.7109375" customWidth="1"/>
    <col min="10262" max="10263" width="10.7109375" customWidth="1"/>
    <col min="10267" max="10268" width="10.7109375" customWidth="1"/>
    <col min="10270" max="10270" width="10.7109375" customWidth="1"/>
    <col min="10272" max="10272" width="10.7109375" customWidth="1"/>
    <col min="10287" max="10287" width="10.7109375" customWidth="1"/>
    <col min="10290" max="10320" width="10.7109375" customWidth="1"/>
    <col min="10322" max="10324" width="10.7109375" customWidth="1"/>
    <col min="10326" max="10326" width="10.7109375" customWidth="1"/>
    <col min="10330" max="10330" width="10.7109375" customWidth="1"/>
    <col min="10332" max="10332" width="10.7109375" customWidth="1"/>
    <col min="10337" max="10338" width="10.7109375" customWidth="1"/>
    <col min="10340" max="10342" width="10.7109375" customWidth="1"/>
    <col min="10344" max="10345" width="10.7109375" customWidth="1"/>
    <col min="10348" max="10348" width="10.7109375" customWidth="1"/>
    <col min="10350" max="10351" width="10.7109375" customWidth="1"/>
    <col min="10353" max="10448" width="10.7109375" customWidth="1"/>
    <col min="10451" max="10452" width="10.7109375" customWidth="1"/>
    <col min="10455" max="10457" width="10.7109375" customWidth="1"/>
    <col min="10459" max="10460" width="10.7109375" customWidth="1"/>
    <col min="10464" max="10464" width="10.7109375" customWidth="1"/>
    <col min="10466" max="10466" width="10.7109375" customWidth="1"/>
    <col min="10469" max="10469" width="10.7109375" customWidth="1"/>
    <col min="10472" max="10474" width="10.7109375" customWidth="1"/>
    <col min="10477" max="10477" width="10.7109375" customWidth="1"/>
    <col min="10479" max="10482" width="10.7109375" customWidth="1"/>
    <col min="10485" max="10485" width="10.7109375" customWidth="1"/>
    <col min="10487" max="10487" width="10.7109375" customWidth="1"/>
    <col min="10489" max="10489" width="10.7109375" customWidth="1"/>
    <col min="10492" max="10492" width="10.7109375" customWidth="1"/>
    <col min="10495" max="10496" width="10.7109375" customWidth="1"/>
    <col min="10498" max="10499" width="10.7109375" customWidth="1"/>
    <col min="10501" max="10501" width="10.7109375" customWidth="1"/>
    <col min="10504" max="10506" width="10.7109375" customWidth="1"/>
    <col min="10509" max="10509" width="10.7109375" customWidth="1"/>
    <col min="10511" max="10546" width="10.7109375" customWidth="1"/>
    <col min="10548" max="10548" width="10.7109375" customWidth="1"/>
    <col min="10550" max="10552" width="10.7109375" customWidth="1"/>
    <col min="10556" max="10556" width="10.7109375" customWidth="1"/>
    <col min="10558" max="10559" width="10.7109375" customWidth="1"/>
    <col min="10561" max="10561" width="10.7109375" customWidth="1"/>
    <col min="10563" max="10565" width="10.7109375" customWidth="1"/>
    <col min="10567" max="10567" width="10.7109375" customWidth="1"/>
    <col min="10569" max="10570" width="10.7109375" customWidth="1"/>
    <col min="10573" max="10573" width="10.7109375" customWidth="1"/>
    <col min="10575" max="10575" width="10.7109375" customWidth="1"/>
    <col min="10577" max="10640" width="10.7109375" customWidth="1"/>
    <col min="10642" max="10684" width="10.7109375" customWidth="1"/>
    <col min="10687" max="10687" width="10.7109375" customWidth="1"/>
    <col min="10689" max="10689" width="10.7109375" customWidth="1"/>
    <col min="10691" max="10692" width="10.7109375" customWidth="1"/>
    <col min="10694" max="10695" width="10.7109375" customWidth="1"/>
    <col min="10697" max="10697" width="10.7109375" customWidth="1"/>
    <col min="10700" max="10705" width="10.7109375" customWidth="1"/>
    <col min="10709" max="10709" width="10.7109375" customWidth="1"/>
    <col min="10711" max="10714" width="10.7109375" customWidth="1"/>
    <col min="10716" max="10716" width="10.7109375" customWidth="1"/>
    <col min="10719" max="10721" width="10.7109375" customWidth="1"/>
    <col min="10724" max="10726" width="10.7109375" customWidth="1"/>
    <col min="10728" max="10729" width="10.7109375" customWidth="1"/>
    <col min="10732" max="10732" width="10.7109375" customWidth="1"/>
    <col min="10734" max="10735" width="10.7109375" customWidth="1"/>
    <col min="10737" max="10745" width="10.7109375" customWidth="1"/>
    <col min="10747" max="10747" width="10.7109375" customWidth="1"/>
    <col min="10749" max="10749" width="10.7109375" customWidth="1"/>
    <col min="10753" max="10753" width="10.7109375" customWidth="1"/>
    <col min="10755" max="10756" width="10.7109375" customWidth="1"/>
    <col min="10758" max="10759" width="10.7109375" customWidth="1"/>
    <col min="10761" max="10761" width="10.7109375" customWidth="1"/>
    <col min="10764" max="10789" width="10.7109375" customWidth="1"/>
    <col min="10792" max="10794" width="10.7109375" customWidth="1"/>
    <col min="10797" max="10797" width="10.7109375" customWidth="1"/>
    <col min="10799" max="10804" width="10.7109375" customWidth="1"/>
    <col min="10806" max="10806" width="10.7109375" customWidth="1"/>
    <col min="10809" max="10810" width="10.7109375" customWidth="1"/>
    <col min="10812" max="10818" width="10.7109375" customWidth="1"/>
    <col min="10821" max="10821" width="10.7109375" customWidth="1"/>
    <col min="10824" max="10826" width="10.7109375" customWidth="1"/>
    <col min="10829" max="10829" width="10.7109375" customWidth="1"/>
    <col min="10831" max="10833" width="10.7109375" customWidth="1"/>
    <col min="10841" max="10842" width="10.7109375" customWidth="1"/>
    <col min="10845" max="10848" width="10.7109375" customWidth="1"/>
    <col min="10850" max="10850" width="10.7109375" customWidth="1"/>
    <col min="10852" max="10854" width="10.7109375" customWidth="1"/>
    <col min="10856" max="10857" width="10.7109375" customWidth="1"/>
    <col min="10860" max="10860" width="10.7109375" customWidth="1"/>
    <col min="10862" max="10863" width="10.7109375" customWidth="1"/>
    <col min="10865" max="10867" width="10.7109375" customWidth="1"/>
    <col min="10870" max="10908" width="10.7109375" customWidth="1"/>
    <col min="10911" max="10911" width="10.7109375" customWidth="1"/>
    <col min="10913" max="10913" width="10.7109375" customWidth="1"/>
    <col min="10915" max="10916" width="10.7109375" customWidth="1"/>
    <col min="10918" max="10919" width="10.7109375" customWidth="1"/>
    <col min="10921" max="10921" width="10.7109375" customWidth="1"/>
    <col min="10924" max="10928" width="10.7109375" customWidth="1"/>
    <col min="10932" max="10961" width="10.7109375" customWidth="1"/>
    <col min="10963" max="10965" width="10.7109375" customWidth="1"/>
    <col min="10967" max="10994" width="10.7109375" customWidth="1"/>
    <col min="11002" max="11004" width="10.7109375" customWidth="1"/>
    <col min="11006" max="11006" width="10.7109375" customWidth="1"/>
    <col min="11008" max="11008" width="10.7109375" customWidth="1"/>
    <col min="11023" max="11023" width="10.7109375" customWidth="1"/>
    <col min="11025" max="11029" width="10.7109375" customWidth="1"/>
    <col min="11031" max="11034" width="10.7109375" customWidth="1"/>
    <col min="11037" max="11040" width="10.7109375" customWidth="1"/>
    <col min="11042" max="11042" width="10.7109375" customWidth="1"/>
    <col min="11045" max="11048" width="10.7109375" customWidth="1"/>
    <col min="11050" max="11051" width="10.7109375" customWidth="1"/>
    <col min="11053" max="11053" width="10.7109375" customWidth="1"/>
    <col min="11055" max="11059" width="10.7109375" customWidth="1"/>
    <col min="11061" max="11061" width="10.7109375" customWidth="1"/>
    <col min="11064" max="11064" width="10.7109375" customWidth="1"/>
    <col min="11066" max="11068" width="10.7109375" customWidth="1"/>
    <col min="11070" max="11070" width="10.7109375" customWidth="1"/>
    <col min="11072" max="11072" width="10.7109375" customWidth="1"/>
    <col min="11087" max="11087" width="10.7109375" customWidth="1"/>
    <col min="11089" max="11089" width="10.7109375" customWidth="1"/>
    <col min="11091" max="11092" width="10.7109375" customWidth="1"/>
    <col min="11094" max="11094" width="10.7109375" customWidth="1"/>
    <col min="11099" max="11100" width="10.7109375" customWidth="1"/>
    <col min="11103" max="11105" width="10.7109375" customWidth="1"/>
    <col min="11108" max="11110" width="10.7109375" customWidth="1"/>
    <col min="11112" max="11113" width="10.7109375" customWidth="1"/>
    <col min="11116" max="11116" width="10.7109375" customWidth="1"/>
    <col min="11118" max="11119" width="10.7109375" customWidth="1"/>
    <col min="11124" max="11184" width="10.7109375" customWidth="1"/>
    <col min="11187" max="11200" width="10.7109375" customWidth="1"/>
    <col min="11202" max="11202" width="10.7109375" customWidth="1"/>
    <col min="11204" max="11205" width="10.7109375" customWidth="1"/>
    <col min="11207" max="11249" width="10.7109375" customWidth="1"/>
    <col min="11251" max="11280" width="10.7109375" customWidth="1"/>
    <col min="11345" max="11384" width="10.7109375" customWidth="1"/>
    <col min="11409" max="11429" width="10.7109375" customWidth="1"/>
    <col min="11431" max="11441" width="10.7109375" customWidth="1"/>
    <col min="11443" max="11475" width="10.7109375" customWidth="1"/>
    <col min="11477" max="11504" width="10.7109375" customWidth="1"/>
    <col min="11569" max="11600" width="10.7109375" customWidth="1"/>
    <col min="11633" max="11641" width="10.7109375" customWidth="1"/>
    <col min="11643" max="11643" width="10.7109375" customWidth="1"/>
    <col min="11645" max="11645" width="10.7109375" customWidth="1"/>
    <col min="11649" max="11649" width="10.7109375" customWidth="1"/>
    <col min="11651" max="11652" width="10.7109375" customWidth="1"/>
    <col min="11654" max="11655" width="10.7109375" customWidth="1"/>
    <col min="11657" max="11657" width="10.7109375" customWidth="1"/>
    <col min="11660" max="11685" width="10.7109375" customWidth="1"/>
    <col min="11688" max="11690" width="10.7109375" customWidth="1"/>
    <col min="11693" max="11693" width="10.7109375" customWidth="1"/>
    <col min="11695" max="11701" width="10.7109375" customWidth="1"/>
    <col min="11703" max="11705" width="10.7109375" customWidth="1"/>
    <col min="11707" max="11708" width="10.7109375" customWidth="1"/>
    <col min="11710" max="11711" width="10.7109375" customWidth="1"/>
    <col min="11713" max="11713" width="10.7109375" customWidth="1"/>
    <col min="11715" max="11715" width="10.7109375" customWidth="1"/>
    <col min="11717" max="11717" width="10.7109375" customWidth="1"/>
    <col min="11720" max="11722" width="10.7109375" customWidth="1"/>
    <col min="11725" max="11725" width="10.7109375" customWidth="1"/>
    <col min="11727" max="11728" width="10.7109375" customWidth="1"/>
    <col min="11731" max="11733" width="10.7109375" customWidth="1"/>
    <col min="11735" max="11736" width="10.7109375" customWidth="1"/>
    <col min="11738" max="11739" width="10.7109375" customWidth="1"/>
    <col min="11745" max="11745" width="10.7109375" customWidth="1"/>
    <col min="11749" max="11749" width="10.7109375" customWidth="1"/>
    <col min="11751" max="11751" width="10.7109375" customWidth="1"/>
    <col min="11753" max="11756" width="10.7109375" customWidth="1"/>
    <col min="11758" max="11759" width="10.7109375" customWidth="1"/>
    <col min="11761" max="11764" width="10.7109375" customWidth="1"/>
    <col min="11766" max="11766" width="10.7109375" customWidth="1"/>
    <col min="11768" max="11804" width="10.7109375" customWidth="1"/>
    <col min="11807" max="11807" width="10.7109375" customWidth="1"/>
    <col min="11809" max="11809" width="10.7109375" customWidth="1"/>
    <col min="11811" max="11812" width="10.7109375" customWidth="1"/>
    <col min="11814" max="11815" width="10.7109375" customWidth="1"/>
    <col min="11817" max="11817" width="10.7109375" customWidth="1"/>
    <col min="11820" max="11827" width="10.7109375" customWidth="1"/>
    <col min="11830" max="11836" width="10.7109375" customWidth="1"/>
    <col min="11838" max="11838" width="10.7109375" customWidth="1"/>
    <col min="11840" max="11840" width="10.7109375" customWidth="1"/>
    <col min="11855" max="11855" width="10.7109375" customWidth="1"/>
    <col min="11858" max="11861" width="10.7109375" customWidth="1"/>
    <col min="11863" max="11864" width="10.7109375" customWidth="1"/>
    <col min="11866" max="11867" width="10.7109375" customWidth="1"/>
    <col min="11869" max="11871" width="10.7109375" customWidth="1"/>
    <col min="11875" max="11875" width="10.7109375" customWidth="1"/>
    <col min="11877" max="11877" width="10.7109375" customWidth="1"/>
    <col min="11879" max="11879" width="10.7109375" customWidth="1"/>
    <col min="11881" max="11884" width="10.7109375" customWidth="1"/>
    <col min="11886" max="11887" width="10.7109375" customWidth="1"/>
    <col min="11889" max="11897" width="10.7109375" customWidth="1"/>
    <col min="11899" max="11899" width="10.7109375" customWidth="1"/>
    <col min="11901" max="11901" width="10.7109375" customWidth="1"/>
    <col min="11905" max="11905" width="10.7109375" customWidth="1"/>
    <col min="11907" max="11908" width="10.7109375" customWidth="1"/>
    <col min="11910" max="11911" width="10.7109375" customWidth="1"/>
    <col min="11913" max="11913" width="10.7109375" customWidth="1"/>
    <col min="11916" max="11922" width="10.7109375" customWidth="1"/>
    <col min="11927" max="11929" width="10.7109375" customWidth="1"/>
    <col min="11933" max="11933" width="10.7109375" customWidth="1"/>
    <col min="11937" max="11937" width="10.7109375" customWidth="1"/>
    <col min="11939" max="11940" width="10.7109375" customWidth="1"/>
    <col min="11942" max="11943" width="10.7109375" customWidth="1"/>
    <col min="11945" max="11945" width="10.7109375" customWidth="1"/>
    <col min="11948" max="11954" width="10.7109375" customWidth="1"/>
    <col min="11956" max="11958" width="10.7109375" customWidth="1"/>
    <col min="11960" max="11961" width="10.7109375" customWidth="1"/>
    <col min="11965" max="11965" width="10.7109375" customWidth="1"/>
    <col min="11969" max="11969" width="10.7109375" customWidth="1"/>
    <col min="11971" max="11972" width="10.7109375" customWidth="1"/>
    <col min="11974" max="11975" width="10.7109375" customWidth="1"/>
    <col min="11977" max="11977" width="10.7109375" customWidth="1"/>
    <col min="11980" max="11990" width="10.7109375" customWidth="1"/>
    <col min="11992" max="11993" width="10.7109375" customWidth="1"/>
    <col min="11997" max="11997" width="10.7109375" customWidth="1"/>
    <col min="12001" max="12001" width="10.7109375" customWidth="1"/>
    <col min="12003" max="12004" width="10.7109375" customWidth="1"/>
    <col min="12006" max="12007" width="10.7109375" customWidth="1"/>
    <col min="12009" max="12009" width="10.7109375" customWidth="1"/>
    <col min="12012" max="12018" width="10.7109375" customWidth="1"/>
    <col min="12020" max="12025" width="10.7109375" customWidth="1"/>
    <col min="12027" max="12027" width="10.7109375" customWidth="1"/>
    <col min="12029" max="12029" width="10.7109375" customWidth="1"/>
    <col min="12033" max="12033" width="10.7109375" customWidth="1"/>
    <col min="12035" max="12036" width="10.7109375" customWidth="1"/>
    <col min="12038" max="12039" width="10.7109375" customWidth="1"/>
    <col min="12041" max="12041" width="10.7109375" customWidth="1"/>
    <col min="12044" max="12052" width="10.7109375" customWidth="1"/>
    <col min="12054" max="12054" width="10.7109375" customWidth="1"/>
    <col min="12056" max="12057" width="10.7109375" customWidth="1"/>
    <col min="12061" max="12061" width="10.7109375" customWidth="1"/>
    <col min="12065" max="12065" width="10.7109375" customWidth="1"/>
    <col min="12067" max="12068" width="10.7109375" customWidth="1"/>
    <col min="12070" max="12071" width="10.7109375" customWidth="1"/>
    <col min="12073" max="12073" width="10.7109375" customWidth="1"/>
    <col min="12076" max="12082" width="10.7109375" customWidth="1"/>
    <col min="12084" max="12112" width="10.7109375" customWidth="1"/>
    <col min="12114" max="12146" width="10.7109375" customWidth="1"/>
    <col min="12149" max="12150" width="10.7109375" customWidth="1"/>
    <col min="12152" max="12153" width="10.7109375" customWidth="1"/>
    <col min="12157" max="12157" width="10.7109375" customWidth="1"/>
    <col min="12161" max="12161" width="10.7109375" customWidth="1"/>
    <col min="12163" max="12164" width="10.7109375" customWidth="1"/>
    <col min="12166" max="12167" width="10.7109375" customWidth="1"/>
    <col min="12169" max="12169" width="10.7109375" customWidth="1"/>
    <col min="12172" max="12181" width="10.7109375" customWidth="1"/>
    <col min="12183" max="12183" width="10.7109375" customWidth="1"/>
    <col min="12186" max="12187" width="10.7109375" customWidth="1"/>
    <col min="12191" max="12192" width="10.7109375" customWidth="1"/>
    <col min="12194" max="12195" width="10.7109375" customWidth="1"/>
    <col min="12197" max="12197" width="10.7109375" customWidth="1"/>
    <col min="12200" max="12202" width="10.7109375" customWidth="1"/>
    <col min="12205" max="12205" width="10.7109375" customWidth="1"/>
    <col min="12207" max="12208" width="10.7109375" customWidth="1"/>
    <col min="12210" max="12212" width="10.7109375" customWidth="1"/>
    <col min="12214" max="12215" width="10.7109375" customWidth="1"/>
    <col min="12218" max="12218" width="10.7109375" customWidth="1"/>
    <col min="12220" max="12223" width="10.7109375" customWidth="1"/>
    <col min="12227" max="12227" width="10.7109375" customWidth="1"/>
    <col min="12229" max="12229" width="10.7109375" customWidth="1"/>
    <col min="12231" max="12231" width="10.7109375" customWidth="1"/>
    <col min="12233" max="12236" width="10.7109375" customWidth="1"/>
    <col min="12238" max="12239" width="10.7109375" customWidth="1"/>
    <col min="12241" max="12243" width="10.7109375" customWidth="1"/>
    <col min="12245" max="12245" width="10.7109375" customWidth="1"/>
    <col min="12247" max="12247" width="10.7109375" customWidth="1"/>
    <col min="12250" max="12255" width="10.7109375" customWidth="1"/>
    <col min="12257" max="12258" width="10.7109375" customWidth="1"/>
    <col min="12260" max="12262" width="10.7109375" customWidth="1"/>
    <col min="12264" max="12265" width="10.7109375" customWidth="1"/>
    <col min="12268" max="12268" width="10.7109375" customWidth="1"/>
    <col min="12270" max="12271" width="10.7109375" customWidth="1"/>
    <col min="12273" max="12274" width="10.7109375" customWidth="1"/>
    <col min="12277" max="12279" width="10.7109375" customWidth="1"/>
    <col min="12284" max="12296" width="10.7109375" customWidth="1"/>
    <col min="12298" max="12306" width="10.7109375" customWidth="1"/>
    <col min="12309" max="12311" width="10.7109375" customWidth="1"/>
    <col min="12316" max="12329" width="10.7109375" customWidth="1"/>
    <col min="12331" max="12338" width="10.7109375" customWidth="1"/>
    <col min="12340" max="12341" width="10.7109375" customWidth="1"/>
    <col min="12343" max="12343" width="10.7109375" customWidth="1"/>
    <col min="12346" max="12347" width="10.7109375" customWidth="1"/>
    <col min="12351" max="12352" width="10.7109375" customWidth="1"/>
    <col min="12354" max="12355" width="10.7109375" customWidth="1"/>
    <col min="12357" max="12357" width="10.7109375" customWidth="1"/>
    <col min="12360" max="12362" width="10.7109375" customWidth="1"/>
    <col min="12365" max="12365" width="10.7109375" customWidth="1"/>
    <col min="12367" max="12376" width="10.7109375" customWidth="1"/>
    <col min="12378" max="12378" width="10.7109375" customWidth="1"/>
    <col min="12380" max="12403" width="10.7109375" customWidth="1"/>
    <col min="12405" max="12406" width="10.7109375" customWidth="1"/>
    <col min="12408" max="12409" width="10.7109375" customWidth="1"/>
    <col min="12413" max="12413" width="10.7109375" customWidth="1"/>
    <col min="12417" max="12417" width="10.7109375" customWidth="1"/>
    <col min="12419" max="12420" width="10.7109375" customWidth="1"/>
    <col min="12422" max="12423" width="10.7109375" customWidth="1"/>
    <col min="12425" max="12425" width="10.7109375" customWidth="1"/>
    <col min="12428" max="12434" width="10.7109375" customWidth="1"/>
    <col min="12439" max="12441" width="10.7109375" customWidth="1"/>
    <col min="12445" max="12445" width="10.7109375" customWidth="1"/>
    <col min="12449" max="12449" width="10.7109375" customWidth="1"/>
    <col min="12451" max="12452" width="10.7109375" customWidth="1"/>
    <col min="12454" max="12455" width="10.7109375" customWidth="1"/>
    <col min="12457" max="12457" width="10.7109375" customWidth="1"/>
    <col min="12460" max="12466" width="10.7109375" customWidth="1"/>
    <col min="12468" max="12470" width="10.7109375" customWidth="1"/>
    <col min="12472" max="12473" width="10.7109375" customWidth="1"/>
    <col min="12477" max="12477" width="10.7109375" customWidth="1"/>
    <col min="12481" max="12481" width="10.7109375" customWidth="1"/>
    <col min="12483" max="12484" width="10.7109375" customWidth="1"/>
    <col min="12486" max="12487" width="10.7109375" customWidth="1"/>
    <col min="12489" max="12489" width="10.7109375" customWidth="1"/>
    <col min="12492" max="12496" width="10.7109375" customWidth="1"/>
    <col min="12498" max="12498" width="10.7109375" customWidth="1"/>
    <col min="12501" max="12501" width="10.7109375" customWidth="1"/>
    <col min="12503" max="12504" width="10.7109375" customWidth="1"/>
    <col min="12512" max="12514" width="10.7109375" customWidth="1"/>
    <col min="12516" max="12518" width="10.7109375" customWidth="1"/>
    <col min="12520" max="12521" width="10.7109375" customWidth="1"/>
    <col min="12524" max="12524" width="10.7109375" customWidth="1"/>
    <col min="12526" max="12527" width="10.7109375" customWidth="1"/>
    <col min="12529" max="12530" width="10.7109375" customWidth="1"/>
    <col min="12532" max="12537" width="10.7109375" customWidth="1"/>
    <col min="12539" max="12539" width="10.7109375" customWidth="1"/>
    <col min="12541" max="12541" width="10.7109375" customWidth="1"/>
    <col min="12545" max="12562" width="10.7109375" customWidth="1"/>
    <col min="12564" max="12565" width="10.7109375" customWidth="1"/>
    <col min="12567" max="12567" width="10.7109375" customWidth="1"/>
    <col min="12570" max="12571" width="10.7109375" customWidth="1"/>
    <col min="12575" max="12576" width="10.7109375" customWidth="1"/>
    <col min="12578" max="12579" width="10.7109375" customWidth="1"/>
    <col min="12581" max="12581" width="10.7109375" customWidth="1"/>
    <col min="12584" max="12586" width="10.7109375" customWidth="1"/>
    <col min="12589" max="12589" width="10.7109375" customWidth="1"/>
    <col min="12591" max="12597" width="10.7109375" customWidth="1"/>
    <col min="12599" max="12599" width="10.7109375" customWidth="1"/>
    <col min="12602" max="12603" width="10.7109375" customWidth="1"/>
    <col min="12607" max="12608" width="10.7109375" customWidth="1"/>
    <col min="12610" max="12611" width="10.7109375" customWidth="1"/>
    <col min="12613" max="12613" width="10.7109375" customWidth="1"/>
    <col min="12616" max="12618" width="10.7109375" customWidth="1"/>
    <col min="12621" max="12621" width="10.7109375" customWidth="1"/>
    <col min="12623" max="12625" width="10.7109375" customWidth="1"/>
    <col min="12629" max="12630" width="10.7109375" customWidth="1"/>
    <col min="12632" max="12632" width="10.7109375" customWidth="1"/>
    <col min="12635" max="12637" width="10.7109375" customWidth="1"/>
    <col min="12641" max="12642" width="10.7109375" customWidth="1"/>
    <col min="12644" max="12646" width="10.7109375" customWidth="1"/>
    <col min="12648" max="12649" width="10.7109375" customWidth="1"/>
    <col min="12652" max="12652" width="10.7109375" customWidth="1"/>
    <col min="12654" max="12655" width="10.7109375" customWidth="1"/>
    <col min="12657" max="12661" width="10.7109375" customWidth="1"/>
    <col min="12663" max="12663" width="10.7109375" customWidth="1"/>
    <col min="12666" max="12667" width="10.7109375" customWidth="1"/>
    <col min="12671" max="12672" width="10.7109375" customWidth="1"/>
    <col min="12674" max="12675" width="10.7109375" customWidth="1"/>
    <col min="12677" max="12677" width="10.7109375" customWidth="1"/>
    <col min="12680" max="12682" width="10.7109375" customWidth="1"/>
    <col min="12685" max="12685" width="10.7109375" customWidth="1"/>
    <col min="12687" max="12690" width="10.7109375" customWidth="1"/>
    <col min="12693" max="12693" width="10.7109375" customWidth="1"/>
    <col min="12695" max="12695" width="10.7109375" customWidth="1"/>
    <col min="12701" max="12702" width="10.7109375" customWidth="1"/>
    <col min="12706" max="12709" width="10.7109375" customWidth="1"/>
    <col min="12711" max="12711" width="10.7109375" customWidth="1"/>
    <col min="12713" max="12714" width="10.7109375" customWidth="1"/>
    <col min="12717" max="12717" width="10.7109375" customWidth="1"/>
    <col min="12719" max="12719" width="10.7109375" customWidth="1"/>
    <col min="12721" max="12723" width="10.7109375" customWidth="1"/>
    <col min="12727" max="12732" width="10.7109375" customWidth="1"/>
    <col min="12734" max="12734" width="10.7109375" customWidth="1"/>
    <col min="12736" max="12736" width="10.7109375" customWidth="1"/>
    <col min="12751" max="12751" width="10.7109375" customWidth="1"/>
    <col min="12753" max="12753" width="10.7109375" customWidth="1"/>
    <col min="12756" max="12757" width="10.7109375" customWidth="1"/>
    <col min="12763" max="12765" width="10.7109375" customWidth="1"/>
    <col min="12769" max="12770" width="10.7109375" customWidth="1"/>
    <col min="12772" max="12774" width="10.7109375" customWidth="1"/>
    <col min="12776" max="12777" width="10.7109375" customWidth="1"/>
    <col min="12780" max="12780" width="10.7109375" customWidth="1"/>
    <col min="12782" max="12783" width="10.7109375" customWidth="1"/>
    <col min="12785" max="12789" width="10.7109375" customWidth="1"/>
    <col min="12791" max="12791" width="10.7109375" customWidth="1"/>
    <col min="12794" max="12795" width="10.7109375" customWidth="1"/>
    <col min="12799" max="12800" width="10.7109375" customWidth="1"/>
    <col min="12802" max="12803" width="10.7109375" customWidth="1"/>
    <col min="12805" max="12805" width="10.7109375" customWidth="1"/>
    <col min="12808" max="12810" width="10.7109375" customWidth="1"/>
    <col min="12813" max="12813" width="10.7109375" customWidth="1"/>
    <col min="12815" max="12828" width="10.7109375" customWidth="1"/>
    <col min="12831" max="12831" width="10.7109375" customWidth="1"/>
    <col min="12833" max="12833" width="10.7109375" customWidth="1"/>
    <col min="12835" max="12836" width="10.7109375" customWidth="1"/>
    <col min="12838" max="12839" width="10.7109375" customWidth="1"/>
    <col min="12841" max="12841" width="10.7109375" customWidth="1"/>
    <col min="12844" max="12851" width="10.7109375" customWidth="1"/>
    <col min="12855" max="12857" width="10.7109375" customWidth="1"/>
    <col min="12859" max="12859" width="10.7109375" customWidth="1"/>
    <col min="12863" max="12864" width="10.7109375" customWidth="1"/>
    <col min="12866" max="12866" width="10.7109375" customWidth="1"/>
    <col min="12869" max="12874" width="10.7109375" customWidth="1"/>
    <col min="12877" max="12877" width="10.7109375" customWidth="1"/>
    <col min="12879" max="12879" width="10.7109375" customWidth="1"/>
    <col min="12882" max="12882" width="10.7109375" customWidth="1"/>
    <col min="12885" max="12885" width="10.7109375" customWidth="1"/>
    <col min="12887" max="12979" width="10.7109375" customWidth="1"/>
    <col min="12983" max="12988" width="10.7109375" customWidth="1"/>
    <col min="12990" max="12990" width="10.7109375" customWidth="1"/>
    <col min="12992" max="12992" width="10.7109375" customWidth="1"/>
    <col min="13007" max="13007" width="10.7109375" customWidth="1"/>
    <col min="13009" max="13010" width="10.7109375" customWidth="1"/>
    <col min="13013" max="13016" width="10.7109375" customWidth="1"/>
    <col min="13019" max="13021" width="10.7109375" customWidth="1"/>
    <col min="13026" max="13026" width="10.7109375" customWidth="1"/>
    <col min="13028" max="13030" width="10.7109375" customWidth="1"/>
    <col min="13032" max="13033" width="10.7109375" customWidth="1"/>
    <col min="13036" max="13036" width="10.7109375" customWidth="1"/>
    <col min="13038" max="13039" width="10.7109375" customWidth="1"/>
    <col min="13041" max="13045" width="10.7109375" customWidth="1"/>
    <col min="13047" max="13047" width="10.7109375" customWidth="1"/>
    <col min="13050" max="13051" width="10.7109375" customWidth="1"/>
    <col min="13055" max="13056" width="10.7109375" customWidth="1"/>
    <col min="13058" max="13059" width="10.7109375" customWidth="1"/>
    <col min="13061" max="13061" width="10.7109375" customWidth="1"/>
    <col min="13064" max="13066" width="10.7109375" customWidth="1"/>
    <col min="13069" max="13069" width="10.7109375" customWidth="1"/>
    <col min="13071" max="13074" width="10.7109375" customWidth="1"/>
    <col min="13076" max="13076" width="10.7109375" customWidth="1"/>
    <col min="13078" max="13078" width="10.7109375" customWidth="1"/>
    <col min="13082" max="13082" width="10.7109375" customWidth="1"/>
    <col min="13084" max="13085" width="10.7109375" customWidth="1"/>
    <col min="13089" max="13089" width="10.7109375" customWidth="1"/>
    <col min="13091" max="13093" width="10.7109375" customWidth="1"/>
    <col min="13095" max="13095" width="10.7109375" customWidth="1"/>
    <col min="13097" max="13098" width="10.7109375" customWidth="1"/>
    <col min="13101" max="13101" width="10.7109375" customWidth="1"/>
    <col min="13103" max="13103" width="10.7109375" customWidth="1"/>
    <col min="13105" max="13136" width="10.7109375" customWidth="1"/>
    <col min="13138" max="13138" width="10.7109375" customWidth="1"/>
    <col min="13141" max="13141" width="10.7109375" customWidth="1"/>
    <col min="13143" max="13236" width="10.7109375" customWidth="1"/>
    <col min="13238" max="13239" width="10.7109375" customWidth="1"/>
    <col min="13241" max="13244" width="10.7109375" customWidth="1"/>
    <col min="13246" max="13246" width="10.7109375" customWidth="1"/>
    <col min="13248" max="13248" width="10.7109375" customWidth="1"/>
    <col min="13263" max="13263" width="10.7109375" customWidth="1"/>
    <col min="13266" max="13266" width="10.7109375" customWidth="1"/>
    <col min="13269" max="13269" width="10.7109375" customWidth="1"/>
    <col min="13271" max="13363" width="10.7109375" customWidth="1"/>
    <col min="13365" max="13365" width="10.7109375" customWidth="1"/>
    <col min="13367" max="13367" width="10.7109375" customWidth="1"/>
    <col min="13369" max="13372" width="10.7109375" customWidth="1"/>
    <col min="13374" max="13374" width="10.7109375" customWidth="1"/>
    <col min="13376" max="13376" width="10.7109375" customWidth="1"/>
    <col min="13391" max="13391" width="10.7109375" customWidth="1"/>
    <col min="13393" max="13393" width="10.7109375" customWidth="1"/>
    <col min="13397" max="13397" width="10.7109375" customWidth="1"/>
    <col min="13402" max="13402" width="10.7109375" customWidth="1"/>
    <col min="13404" max="13405" width="10.7109375" customWidth="1"/>
    <col min="13407" max="13407" width="10.7109375" customWidth="1"/>
    <col min="13409" max="13409" width="10.7109375" customWidth="1"/>
    <col min="13412" max="13414" width="10.7109375" customWidth="1"/>
    <col min="13416" max="13417" width="10.7109375" customWidth="1"/>
    <col min="13420" max="13420" width="10.7109375" customWidth="1"/>
    <col min="13422" max="13423" width="10.7109375" customWidth="1"/>
    <col min="13425" max="13430" width="10.7109375" customWidth="1"/>
    <col min="13432" max="13432" width="10.7109375" customWidth="1"/>
    <col min="13434" max="13436" width="10.7109375" customWidth="1"/>
    <col min="13438" max="13440" width="10.7109375" customWidth="1"/>
    <col min="13443" max="13445" width="10.7109375" customWidth="1"/>
    <col min="13447" max="13447" width="10.7109375" customWidth="1"/>
    <col min="13449" max="13450" width="10.7109375" customWidth="1"/>
    <col min="13453" max="13453" width="10.7109375" customWidth="1"/>
    <col min="13455" max="13455" width="10.7109375" customWidth="1"/>
    <col min="13457" max="13461" width="10.7109375" customWidth="1"/>
    <col min="13463" max="13463" width="10.7109375" customWidth="1"/>
    <col min="13466" max="13467" width="10.7109375" customWidth="1"/>
    <col min="13471" max="13472" width="10.7109375" customWidth="1"/>
    <col min="13474" max="13475" width="10.7109375" customWidth="1"/>
    <col min="13477" max="13477" width="10.7109375" customWidth="1"/>
    <col min="13480" max="13482" width="10.7109375" customWidth="1"/>
    <col min="13485" max="13485" width="10.7109375" customWidth="1"/>
    <col min="13487" max="13520" width="10.7109375" customWidth="1"/>
    <col min="13522" max="13523" width="10.7109375" customWidth="1"/>
    <col min="13525" max="13525" width="10.7109375" customWidth="1"/>
    <col min="13528" max="13531" width="10.7109375" customWidth="1"/>
    <col min="13533" max="13533" width="10.7109375" customWidth="1"/>
    <col min="13537" max="13538" width="10.7109375" customWidth="1"/>
    <col min="13540" max="13542" width="10.7109375" customWidth="1"/>
    <col min="13544" max="13545" width="10.7109375" customWidth="1"/>
    <col min="13548" max="13548" width="10.7109375" customWidth="1"/>
    <col min="13550" max="13551" width="10.7109375" customWidth="1"/>
    <col min="13553" max="13554" width="10.7109375" customWidth="1"/>
    <col min="13557" max="13559" width="10.7109375" customWidth="1"/>
    <col min="13564" max="13577" width="10.7109375" customWidth="1"/>
    <col min="13579" max="13586" width="10.7109375" customWidth="1"/>
    <col min="13589" max="13591" width="10.7109375" customWidth="1"/>
    <col min="13596" max="13608" width="10.7109375" customWidth="1"/>
    <col min="13610" max="13618" width="10.7109375" customWidth="1"/>
    <col min="13620" max="13621" width="10.7109375" customWidth="1"/>
    <col min="13623" max="13623" width="10.7109375" customWidth="1"/>
    <col min="13626" max="13627" width="10.7109375" customWidth="1"/>
    <col min="13631" max="13632" width="10.7109375" customWidth="1"/>
    <col min="13634" max="13635" width="10.7109375" customWidth="1"/>
    <col min="13637" max="13637" width="10.7109375" customWidth="1"/>
    <col min="13640" max="13642" width="10.7109375" customWidth="1"/>
    <col min="13645" max="13645" width="10.7109375" customWidth="1"/>
    <col min="13647" max="13682" width="10.7109375" customWidth="1"/>
    <col min="13684" max="13684" width="10.7109375" customWidth="1"/>
    <col min="13686" max="13686" width="10.7109375" customWidth="1"/>
    <col min="13690" max="13690" width="10.7109375" customWidth="1"/>
    <col min="13692" max="13693" width="10.7109375" customWidth="1"/>
    <col min="13697" max="13697" width="10.7109375" customWidth="1"/>
    <col min="13699" max="13701" width="10.7109375" customWidth="1"/>
    <col min="13703" max="13703" width="10.7109375" customWidth="1"/>
    <col min="13705" max="13706" width="10.7109375" customWidth="1"/>
    <col min="13709" max="13709" width="10.7109375" customWidth="1"/>
    <col min="13711" max="13711" width="10.7109375" customWidth="1"/>
    <col min="13713" max="13736" width="10.7109375" customWidth="1"/>
    <col min="13738" max="13752" width="10.7109375" customWidth="1"/>
    <col min="13755" max="13756" width="10.7109375" customWidth="1"/>
    <col min="13758" max="13760" width="10.7109375" customWidth="1"/>
    <col min="13763" max="13765" width="10.7109375" customWidth="1"/>
    <col min="13767" max="13767" width="10.7109375" customWidth="1"/>
    <col min="13769" max="13770" width="10.7109375" customWidth="1"/>
    <col min="13773" max="13773" width="10.7109375" customWidth="1"/>
    <col min="13775" max="13775" width="10.7109375" customWidth="1"/>
    <col min="13778" max="13779" width="10.7109375" customWidth="1"/>
    <col min="13781" max="13781" width="10.7109375" customWidth="1"/>
    <col min="13783" max="13784" width="10.7109375" customWidth="1"/>
    <col min="13788" max="13788" width="10.7109375" customWidth="1"/>
    <col min="13790" max="13793" width="10.7109375" customWidth="1"/>
    <col min="13796" max="13798" width="10.7109375" customWidth="1"/>
    <col min="13800" max="13808" width="10.7109375" customWidth="1"/>
    <col min="13810" max="13810" width="10.7109375" customWidth="1"/>
    <col min="13813" max="13813" width="10.7109375" customWidth="1"/>
    <col min="13815" max="13840" width="10.7109375" customWidth="1"/>
    <col min="13844" max="13874" width="10.7109375" customWidth="1"/>
    <col min="13876" max="13877" width="10.7109375" customWidth="1"/>
    <col min="13882" max="13883" width="10.7109375" customWidth="1"/>
    <col min="13887" max="13889" width="10.7109375" customWidth="1"/>
    <col min="13891" max="13893" width="10.7109375" customWidth="1"/>
    <col min="13895" max="13895" width="10.7109375" customWidth="1"/>
    <col min="13897" max="13898" width="10.7109375" customWidth="1"/>
    <col min="13901" max="13901" width="10.7109375" customWidth="1"/>
    <col min="13903" max="13903" width="10.7109375" customWidth="1"/>
    <col min="13905" max="13906" width="10.7109375" customWidth="1"/>
    <col min="13908" max="13908" width="10.7109375" customWidth="1"/>
    <col min="13910" max="13910" width="10.7109375" customWidth="1"/>
    <col min="13914" max="13915" width="10.7109375" customWidth="1"/>
    <col min="13919" max="13921" width="10.7109375" customWidth="1"/>
    <col min="13923" max="13925" width="10.7109375" customWidth="1"/>
    <col min="13927" max="13927" width="10.7109375" customWidth="1"/>
    <col min="13929" max="13930" width="10.7109375" customWidth="1"/>
    <col min="13933" max="13933" width="10.7109375" customWidth="1"/>
    <col min="13935" max="13935" width="10.7109375" customWidth="1"/>
    <col min="13937" max="13970" width="10.7109375" customWidth="1"/>
    <col min="13972" max="13973" width="10.7109375" customWidth="1"/>
    <col min="13976" max="13976" width="10.7109375" customWidth="1"/>
    <col min="13979" max="13981" width="10.7109375" customWidth="1"/>
    <col min="13984" max="13984" width="10.7109375" customWidth="1"/>
    <col min="13986" max="13986" width="10.7109375" customWidth="1"/>
    <col min="13990" max="13990" width="10.7109375" customWidth="1"/>
    <col min="13992" max="13993" width="10.7109375" customWidth="1"/>
    <col min="13996" max="13996" width="10.7109375" customWidth="1"/>
    <col min="13998" max="13999" width="10.7109375" customWidth="1"/>
    <col min="14001" max="14003" width="10.7109375" customWidth="1"/>
    <col min="14006" max="14007" width="10.7109375" customWidth="1"/>
    <col min="14014" max="14014" width="10.7109375" customWidth="1"/>
    <col min="14016" max="14016" width="10.7109375" customWidth="1"/>
    <col min="14018" max="14018" width="10.7109375" customWidth="1"/>
    <col min="14022" max="14022" width="10.7109375" customWidth="1"/>
    <col min="14024" max="14025" width="10.7109375" customWidth="1"/>
    <col min="14028" max="14028" width="10.7109375" customWidth="1"/>
    <col min="14030" max="14031" width="10.7109375" customWidth="1"/>
    <col min="14033" max="14033" width="10.7109375" customWidth="1"/>
    <col min="14037" max="14037" width="10.7109375" customWidth="1"/>
    <col min="14039" max="14039" width="10.7109375" customWidth="1"/>
    <col min="14041" max="14041" width="10.7109375" customWidth="1"/>
    <col min="14044" max="14045" width="10.7109375" customWidth="1"/>
    <col min="14049" max="14050" width="10.7109375" customWidth="1"/>
    <col min="14052" max="14054" width="10.7109375" customWidth="1"/>
    <col min="14056" max="14057" width="10.7109375" customWidth="1"/>
    <col min="14060" max="14060" width="10.7109375" customWidth="1"/>
    <col min="14062" max="14063" width="10.7109375" customWidth="1"/>
    <col min="14065" max="14066" width="10.7109375" customWidth="1"/>
    <col min="14068" max="14069" width="10.7109375" customWidth="1"/>
    <col min="14071" max="14071" width="10.7109375" customWidth="1"/>
    <col min="14074" max="14075" width="10.7109375" customWidth="1"/>
    <col min="14079" max="14080" width="10.7109375" customWidth="1"/>
    <col min="14082" max="14083" width="10.7109375" customWidth="1"/>
    <col min="14085" max="14085" width="10.7109375" customWidth="1"/>
    <col min="14088" max="14090" width="10.7109375" customWidth="1"/>
    <col min="14093" max="14093" width="10.7109375" customWidth="1"/>
    <col min="14095" max="14101" width="10.7109375" customWidth="1"/>
    <col min="14105" max="14106" width="10.7109375" customWidth="1"/>
    <col min="14109" max="14110" width="10.7109375" customWidth="1"/>
    <col min="14112" max="14112" width="10.7109375" customWidth="1"/>
    <col min="14115" max="14117" width="10.7109375" customWidth="1"/>
    <col min="14119" max="14119" width="10.7109375" customWidth="1"/>
    <col min="14121" max="14122" width="10.7109375" customWidth="1"/>
    <col min="14125" max="14125" width="10.7109375" customWidth="1"/>
    <col min="14127" max="14127" width="10.7109375" customWidth="1"/>
    <col min="14129" max="14165" width="10.7109375" customWidth="1"/>
    <col min="14167" max="14167" width="10.7109375" customWidth="1"/>
    <col min="14170" max="14171" width="10.7109375" customWidth="1"/>
    <col min="14175" max="14176" width="10.7109375" customWidth="1"/>
    <col min="14178" max="14179" width="10.7109375" customWidth="1"/>
    <col min="14181" max="14181" width="10.7109375" customWidth="1"/>
    <col min="14184" max="14186" width="10.7109375" customWidth="1"/>
    <col min="14189" max="14189" width="10.7109375" customWidth="1"/>
    <col min="14191" max="14197" width="10.7109375" customWidth="1"/>
    <col min="14199" max="14199" width="10.7109375" customWidth="1"/>
    <col min="14202" max="14203" width="10.7109375" customWidth="1"/>
    <col min="14207" max="14208" width="10.7109375" customWidth="1"/>
    <col min="14210" max="14211" width="10.7109375" customWidth="1"/>
    <col min="14213" max="14213" width="10.7109375" customWidth="1"/>
    <col min="14216" max="14218" width="10.7109375" customWidth="1"/>
    <col min="14221" max="14221" width="10.7109375" customWidth="1"/>
    <col min="14223" max="14224" width="10.7109375" customWidth="1"/>
    <col min="14226" max="14259" width="10.7109375" customWidth="1"/>
    <col min="14262" max="14264" width="10.7109375" customWidth="1"/>
    <col min="14266" max="14268" width="10.7109375" customWidth="1"/>
    <col min="14270" max="14270" width="10.7109375" customWidth="1"/>
    <col min="14272" max="14272" width="10.7109375" customWidth="1"/>
    <col min="14287" max="14287" width="10.7109375" customWidth="1"/>
    <col min="14289" max="14290" width="10.7109375" customWidth="1"/>
    <col min="14292" max="14295" width="10.7109375" customWidth="1"/>
    <col min="14298" max="14298" width="10.7109375" customWidth="1"/>
    <col min="14300" max="14301" width="10.7109375" customWidth="1"/>
    <col min="14303" max="14303" width="10.7109375" customWidth="1"/>
    <col min="14305" max="14305" width="10.7109375" customWidth="1"/>
    <col min="14308" max="14310" width="10.7109375" customWidth="1"/>
    <col min="14312" max="14313" width="10.7109375" customWidth="1"/>
    <col min="14316" max="14316" width="10.7109375" customWidth="1"/>
    <col min="14318" max="14319" width="10.7109375" customWidth="1"/>
    <col min="14321" max="14325" width="10.7109375" customWidth="1"/>
    <col min="14327" max="14327" width="10.7109375" customWidth="1"/>
    <col min="14330" max="14331" width="10.7109375" customWidth="1"/>
    <col min="14335" max="14336" width="10.7109375" customWidth="1"/>
    <col min="14338" max="14339" width="10.7109375" customWidth="1"/>
    <col min="14341" max="14341" width="10.7109375" customWidth="1"/>
    <col min="14344" max="14346" width="10.7109375" customWidth="1"/>
    <col min="14349" max="14349" width="10.7109375" customWidth="1"/>
    <col min="14351" max="14357" width="10.7109375" customWidth="1"/>
    <col min="14359" max="14359" width="10.7109375" customWidth="1"/>
    <col min="14362" max="14363" width="10.7109375" customWidth="1"/>
    <col min="14367" max="14368" width="10.7109375" customWidth="1"/>
    <col min="14370" max="14371" width="10.7109375" customWidth="1"/>
    <col min="14373" max="14373" width="10.7109375" customWidth="1"/>
    <col min="14376" max="14378" width="10.7109375" customWidth="1"/>
    <col min="14381" max="14381" width="10.7109375" customWidth="1"/>
    <col min="14383" max="14386" width="10.7109375" customWidth="1"/>
    <col min="14388" max="14393" width="10.7109375" customWidth="1"/>
    <col min="14396" max="14396" width="10.7109375" customWidth="1"/>
    <col min="14399" max="14401" width="10.7109375" customWidth="1"/>
    <col min="14403" max="14405" width="10.7109375" customWidth="1"/>
    <col min="14407" max="14407" width="10.7109375" customWidth="1"/>
    <col min="14409" max="14410" width="10.7109375" customWidth="1"/>
    <col min="14413" max="14413" width="10.7109375" customWidth="1"/>
    <col min="14415" max="14415" width="10.7109375" customWidth="1"/>
    <col min="14418" max="14418" width="10.7109375" customWidth="1"/>
    <col min="14421" max="14421" width="10.7109375" customWidth="1"/>
    <col min="14423" max="14450" width="10.7109375" customWidth="1"/>
    <col min="14454" max="14454" width="10.7109375" customWidth="1"/>
    <col min="14456" max="14457" width="10.7109375" customWidth="1"/>
    <col min="14459" max="14463" width="10.7109375" customWidth="1"/>
    <col min="14465" max="14466" width="10.7109375" customWidth="1"/>
    <col min="14470" max="14470" width="10.7109375" customWidth="1"/>
    <col min="14472" max="14473" width="10.7109375" customWidth="1"/>
    <col min="14476" max="14476" width="10.7109375" customWidth="1"/>
    <col min="14478" max="14479" width="10.7109375" customWidth="1"/>
    <col min="14481" max="14501" width="10.7109375" customWidth="1"/>
    <col min="14503" max="14517" width="10.7109375" customWidth="1"/>
    <col min="14530" max="14533" width="10.7109375" customWidth="1"/>
    <col min="14535" max="14535" width="10.7109375" customWidth="1"/>
    <col min="14537" max="14538" width="10.7109375" customWidth="1"/>
    <col min="14541" max="14541" width="10.7109375" customWidth="1"/>
    <col min="14543" max="14543" width="10.7109375" customWidth="1"/>
    <col min="14545" max="14545" width="10.7109375" customWidth="1"/>
    <col min="14549" max="14549" width="10.7109375" customWidth="1"/>
    <col min="14551" max="14551" width="10.7109375" customWidth="1"/>
    <col min="14554" max="14556" width="10.7109375" customWidth="1"/>
    <col min="14558" max="14561" width="10.7109375" customWidth="1"/>
    <col min="14564" max="14566" width="10.7109375" customWidth="1"/>
    <col min="14568" max="14569" width="10.7109375" customWidth="1"/>
    <col min="14572" max="14572" width="10.7109375" customWidth="1"/>
    <col min="14574" max="14575" width="10.7109375" customWidth="1"/>
    <col min="14578" max="14579" width="10.7109375" customWidth="1"/>
    <col min="14581" max="14581" width="10.7109375" customWidth="1"/>
    <col min="14583" max="14585" width="10.7109375" customWidth="1"/>
    <col min="14587" max="14588" width="10.7109375" customWidth="1"/>
    <col min="14590" max="14591" width="10.7109375" customWidth="1"/>
    <col min="14593" max="14593" width="10.7109375" customWidth="1"/>
    <col min="14595" max="14595" width="10.7109375" customWidth="1"/>
    <col min="14597" max="14597" width="10.7109375" customWidth="1"/>
    <col min="14600" max="14602" width="10.7109375" customWidth="1"/>
    <col min="14605" max="14605" width="10.7109375" customWidth="1"/>
    <col min="14607" max="14613" width="10.7109375" customWidth="1"/>
    <col min="14615" max="14617" width="10.7109375" customWidth="1"/>
    <col min="14619" max="14620" width="10.7109375" customWidth="1"/>
    <col min="14622" max="14623" width="10.7109375" customWidth="1"/>
    <col min="14625" max="14625" width="10.7109375" customWidth="1"/>
    <col min="14627" max="14627" width="10.7109375" customWidth="1"/>
    <col min="14629" max="14629" width="10.7109375" customWidth="1"/>
    <col min="14632" max="14634" width="10.7109375" customWidth="1"/>
    <col min="14637" max="14637" width="10.7109375" customWidth="1"/>
    <col min="14639" max="14643" width="10.7109375" customWidth="1"/>
    <col min="14645" max="14646" width="10.7109375" customWidth="1"/>
    <col min="14648" max="14648" width="10.7109375" customWidth="1"/>
    <col min="14650" max="14650" width="10.7109375" customWidth="1"/>
    <col min="14652" max="14652" width="10.7109375" customWidth="1"/>
    <col min="14654" max="14654" width="10.7109375" customWidth="1"/>
    <col min="14656" max="14656" width="10.7109375" customWidth="1"/>
    <col min="14671" max="14671" width="10.7109375" customWidth="1"/>
    <col min="14673" max="14678" width="10.7109375" customWidth="1"/>
    <col min="14680" max="14680" width="10.7109375" customWidth="1"/>
    <col min="14682" max="14684" width="10.7109375" customWidth="1"/>
    <col min="14686" max="14688" width="10.7109375" customWidth="1"/>
    <col min="14691" max="14693" width="10.7109375" customWidth="1"/>
    <col min="14695" max="14695" width="10.7109375" customWidth="1"/>
    <col min="14697" max="14698" width="10.7109375" customWidth="1"/>
    <col min="14701" max="14701" width="10.7109375" customWidth="1"/>
    <col min="14703" max="14703" width="10.7109375" customWidth="1"/>
    <col min="14705" max="14707" width="10.7109375" customWidth="1"/>
    <col min="14712" max="14714" width="10.7109375" customWidth="1"/>
    <col min="14716" max="14718" width="10.7109375" customWidth="1"/>
    <col min="14720" max="14725" width="10.7109375" customWidth="1"/>
    <col min="14729" max="14729" width="10.7109375" customWidth="1"/>
    <col min="14732" max="14736" width="10.7109375" customWidth="1"/>
    <col min="14738" max="14739" width="10.7109375" customWidth="1"/>
    <col min="14743" max="14743" width="10.7109375" customWidth="1"/>
    <col min="14745" max="14745" width="10.7109375" customWidth="1"/>
    <col min="14748" max="14748" width="10.7109375" customWidth="1"/>
    <col min="14751" max="14752" width="10.7109375" customWidth="1"/>
    <col min="14754" max="14755" width="10.7109375" customWidth="1"/>
    <col min="14757" max="14757" width="10.7109375" customWidth="1"/>
    <col min="14760" max="14762" width="10.7109375" customWidth="1"/>
    <col min="14765" max="14765" width="10.7109375" customWidth="1"/>
    <col min="14767" max="14772" width="10.7109375" customWidth="1"/>
    <col min="14779" max="14782" width="10.7109375" customWidth="1"/>
    <col min="14784" max="14789" width="10.7109375" customWidth="1"/>
    <col min="14793" max="14793" width="10.7109375" customWidth="1"/>
    <col min="14796" max="14801" width="10.7109375" customWidth="1"/>
    <col min="14804" max="14804" width="10.7109375" customWidth="1"/>
    <col min="14808" max="14809" width="10.7109375" customWidth="1"/>
    <col min="14811" max="14813" width="10.7109375" customWidth="1"/>
    <col min="14815" max="14815" width="10.7109375" customWidth="1"/>
    <col min="14817" max="14817" width="10.7109375" customWidth="1"/>
    <col min="14820" max="14822" width="10.7109375" customWidth="1"/>
    <col min="14824" max="14825" width="10.7109375" customWidth="1"/>
    <col min="14828" max="14828" width="10.7109375" customWidth="1"/>
    <col min="14830" max="14831" width="10.7109375" customWidth="1"/>
    <col min="14833" max="14837" width="10.7109375" customWidth="1"/>
    <col min="14839" max="14868" width="10.7109375" customWidth="1"/>
    <col min="14872" max="14874" width="10.7109375" customWidth="1"/>
    <col min="14876" max="14878" width="10.7109375" customWidth="1"/>
    <col min="14880" max="14885" width="10.7109375" customWidth="1"/>
    <col min="14889" max="14889" width="10.7109375" customWidth="1"/>
    <col min="14892" max="14899" width="10.7109375" customWidth="1"/>
    <col min="14901" max="14901" width="10.7109375" customWidth="1"/>
    <col min="14905" max="14906" width="10.7109375" customWidth="1"/>
    <col min="14908" max="14908" width="10.7109375" customWidth="1"/>
    <col min="14910" max="14910" width="10.7109375" customWidth="1"/>
    <col min="14912" max="14912" width="10.7109375" customWidth="1"/>
    <col min="14927" max="14927" width="10.7109375" customWidth="1"/>
    <col min="14929" max="14929" width="10.7109375" customWidth="1"/>
    <col min="14932" max="14932" width="10.7109375" customWidth="1"/>
    <col min="14934" max="14934" width="10.7109375" customWidth="1"/>
    <col min="14938" max="14938" width="10.7109375" customWidth="1"/>
    <col min="14940" max="14941" width="10.7109375" customWidth="1"/>
    <col min="14946" max="14946" width="10.7109375" customWidth="1"/>
    <col min="14948" max="14950" width="10.7109375" customWidth="1"/>
    <col min="14952" max="14953" width="10.7109375" customWidth="1"/>
    <col min="14956" max="14956" width="10.7109375" customWidth="1"/>
    <col min="14958" max="14959" width="10.7109375" customWidth="1"/>
    <col min="14961" max="14962" width="10.7109375" customWidth="1"/>
    <col min="14964" max="14964" width="10.7109375" customWidth="1"/>
    <col min="14966" max="14966" width="10.7109375" customWidth="1"/>
    <col min="14970" max="14970" width="10.7109375" customWidth="1"/>
    <col min="14972" max="14973" width="10.7109375" customWidth="1"/>
    <col min="14977" max="14977" width="10.7109375" customWidth="1"/>
    <col min="14979" max="14981" width="10.7109375" customWidth="1"/>
    <col min="14983" max="14983" width="10.7109375" customWidth="1"/>
    <col min="14985" max="14986" width="10.7109375" customWidth="1"/>
    <col min="14989" max="14989" width="10.7109375" customWidth="1"/>
    <col min="14991" max="14991" width="10.7109375" customWidth="1"/>
    <col min="14993" max="15025" width="10.7109375" customWidth="1"/>
    <col min="15028" max="15030" width="10.7109375" customWidth="1"/>
    <col min="15032" max="15060" width="10.7109375" customWidth="1"/>
    <col min="15064" max="15066" width="10.7109375" customWidth="1"/>
    <col min="15068" max="15070" width="10.7109375" customWidth="1"/>
    <col min="15072" max="15077" width="10.7109375" customWidth="1"/>
    <col min="15081" max="15081" width="10.7109375" customWidth="1"/>
    <col min="15084" max="15088" width="10.7109375" customWidth="1"/>
    <col min="15121" max="15124" width="10.7109375" customWidth="1"/>
    <col min="15126" max="15126" width="10.7109375" customWidth="1"/>
    <col min="15128" max="15130" width="10.7109375" customWidth="1"/>
    <col min="15132" max="15132" width="10.7109375" customWidth="1"/>
    <col min="15134" max="15134" width="10.7109375" customWidth="1"/>
    <col min="15136" max="15136" width="10.7109375" customWidth="1"/>
    <col min="15139" max="15144" width="10.7109375" customWidth="1"/>
    <col min="15146" max="15147" width="10.7109375" customWidth="1"/>
    <col min="15149" max="15149" width="10.7109375" customWidth="1"/>
    <col min="15151" max="15155" width="10.7109375" customWidth="1"/>
    <col min="15157" max="15157" width="10.7109375" customWidth="1"/>
    <col min="15159" max="15159" width="10.7109375" customWidth="1"/>
    <col min="15162" max="15162" width="10.7109375" customWidth="1"/>
    <col min="15166" max="15166" width="10.7109375" customWidth="1"/>
    <col min="15168" max="15168" width="10.7109375" customWidth="1"/>
    <col min="15183" max="15183" width="10.7109375" customWidth="1"/>
    <col min="15186" max="15186" width="10.7109375" customWidth="1"/>
    <col min="15188" max="15192" width="10.7109375" customWidth="1"/>
    <col min="15194" max="15194" width="10.7109375" customWidth="1"/>
    <col min="15197" max="15197" width="10.7109375" customWidth="1"/>
    <col min="15199" max="15201" width="10.7109375" customWidth="1"/>
    <col min="15204" max="15206" width="10.7109375" customWidth="1"/>
    <col min="15208" max="15209" width="10.7109375" customWidth="1"/>
    <col min="15212" max="15212" width="10.7109375" customWidth="1"/>
    <col min="15214" max="15215" width="10.7109375" customWidth="1"/>
    <col min="15217" max="15220" width="10.7109375" customWidth="1"/>
    <col min="15224" max="15226" width="10.7109375" customWidth="1"/>
    <col min="15228" max="15230" width="10.7109375" customWidth="1"/>
    <col min="15232" max="15237" width="10.7109375" customWidth="1"/>
    <col min="15241" max="15241" width="10.7109375" customWidth="1"/>
    <col min="15244" max="15248" width="10.7109375" customWidth="1"/>
    <col min="15250" max="15280" width="10.7109375" customWidth="1"/>
    <col min="15282" max="15282" width="10.7109375" customWidth="1"/>
    <col min="15284" max="15286" width="10.7109375" customWidth="1"/>
    <col min="15288" max="15344" width="10.7109375" customWidth="1"/>
    <col min="15346" max="15376" width="10.7109375" customWidth="1"/>
    <col min="15378" max="15379" width="10.7109375" customWidth="1"/>
    <col min="15381" max="15381" width="10.7109375" customWidth="1"/>
    <col min="15383" max="15385" width="10.7109375" customWidth="1"/>
    <col min="15387" max="15388" width="10.7109375" customWidth="1"/>
    <col min="15390" max="15391" width="10.7109375" customWidth="1"/>
    <col min="15393" max="15393" width="10.7109375" customWidth="1"/>
    <col min="15395" max="15395" width="10.7109375" customWidth="1"/>
    <col min="15397" max="15397" width="10.7109375" customWidth="1"/>
    <col min="15400" max="15402" width="10.7109375" customWidth="1"/>
    <col min="15405" max="15405" width="10.7109375" customWidth="1"/>
    <col min="15407" max="15464" width="10.7109375" customWidth="1"/>
    <col min="15466" max="15476" width="10.7109375" customWidth="1"/>
    <col min="15478" max="15481" width="10.7109375" customWidth="1"/>
    <col min="15483" max="15483" width="10.7109375" customWidth="1"/>
    <col min="15487" max="15488" width="10.7109375" customWidth="1"/>
    <col min="15490" max="15490" width="10.7109375" customWidth="1"/>
    <col min="15493" max="15498" width="10.7109375" customWidth="1"/>
    <col min="15501" max="15501" width="10.7109375" customWidth="1"/>
    <col min="15503" max="15503" width="10.7109375" customWidth="1"/>
    <col min="15505" max="15568" width="10.7109375" customWidth="1"/>
    <col min="15570" max="15577" width="10.7109375" customWidth="1"/>
    <col min="15584" max="15586" width="10.7109375" customWidth="1"/>
    <col min="15588" max="15590" width="10.7109375" customWidth="1"/>
    <col min="15592" max="15593" width="10.7109375" customWidth="1"/>
    <col min="15596" max="15596" width="10.7109375" customWidth="1"/>
    <col min="15598" max="15599" width="10.7109375" customWidth="1"/>
    <col min="15601" max="15604" width="10.7109375" customWidth="1"/>
    <col min="15609" max="15609" width="10.7109375" customWidth="1"/>
    <col min="15611" max="15611" width="10.7109375" customWidth="1"/>
    <col min="15616" max="15616" width="10.7109375" customWidth="1"/>
    <col min="15618" max="15621" width="10.7109375" customWidth="1"/>
    <col min="15623" max="15623" width="10.7109375" customWidth="1"/>
    <col min="15625" max="15625" width="10.7109375" customWidth="1"/>
    <col min="15628" max="15632" width="10.7109375" customWidth="1"/>
    <col min="15634" max="15667" width="10.7109375" customWidth="1"/>
    <col min="15669" max="15669" width="10.7109375" customWidth="1"/>
    <col min="15671" max="15671" width="10.7109375" customWidth="1"/>
    <col min="15674" max="15676" width="10.7109375" customWidth="1"/>
    <col min="15678" max="15678" width="10.7109375" customWidth="1"/>
    <col min="15680" max="15680" width="10.7109375" customWidth="1"/>
    <col min="15695" max="15695" width="10.7109375" customWidth="1"/>
    <col min="15703" max="15707" width="10.7109375" customWidth="1"/>
    <col min="15712" max="15714" width="10.7109375" customWidth="1"/>
    <col min="15716" max="15718" width="10.7109375" customWidth="1"/>
    <col min="15720" max="15721" width="10.7109375" customWidth="1"/>
    <col min="15724" max="15724" width="10.7109375" customWidth="1"/>
    <col min="15726" max="15727" width="10.7109375" customWidth="1"/>
    <col min="15729" max="15732" width="10.7109375" customWidth="1"/>
    <col min="15737" max="15737" width="10.7109375" customWidth="1"/>
    <col min="15739" max="15739" width="10.7109375" customWidth="1"/>
    <col min="15744" max="15744" width="10.7109375" customWidth="1"/>
    <col min="15746" max="15749" width="10.7109375" customWidth="1"/>
    <col min="15751" max="15751" width="10.7109375" customWidth="1"/>
    <col min="15753" max="15753" width="10.7109375" customWidth="1"/>
    <col min="15756" max="15760" width="10.7109375" customWidth="1"/>
    <col min="15762" max="15767" width="10.7109375" customWidth="1"/>
    <col min="15769" max="15773" width="10.7109375" customWidth="1"/>
    <col min="15775" max="15777" width="10.7109375" customWidth="1"/>
    <col min="15780" max="15782" width="10.7109375" customWidth="1"/>
    <col min="15784" max="15785" width="10.7109375" customWidth="1"/>
    <col min="15788" max="15788" width="10.7109375" customWidth="1"/>
    <col min="15790" max="15791" width="10.7109375" customWidth="1"/>
    <col min="15793" max="15795" width="10.7109375" customWidth="1"/>
    <col min="15799" max="15799" width="10.7109375" customWidth="1"/>
    <col min="15802" max="15804" width="10.7109375" customWidth="1"/>
    <col min="15806" max="15806" width="10.7109375" customWidth="1"/>
    <col min="15808" max="15808" width="10.7109375" customWidth="1"/>
    <col min="15823" max="15823" width="10.7109375" customWidth="1"/>
    <col min="15831" max="15835" width="10.7109375" customWidth="1"/>
    <col min="15840" max="15842" width="10.7109375" customWidth="1"/>
    <col min="15844" max="15846" width="10.7109375" customWidth="1"/>
    <col min="15848" max="15849" width="10.7109375" customWidth="1"/>
    <col min="15852" max="15852" width="10.7109375" customWidth="1"/>
    <col min="15854" max="15855" width="10.7109375" customWidth="1"/>
    <col min="15857" max="15860" width="10.7109375" customWidth="1"/>
    <col min="15865" max="15865" width="10.7109375" customWidth="1"/>
    <col min="15867" max="15867" width="10.7109375" customWidth="1"/>
    <col min="15872" max="15872" width="10.7109375" customWidth="1"/>
    <col min="15874" max="15877" width="10.7109375" customWidth="1"/>
    <col min="15879" max="15879" width="10.7109375" customWidth="1"/>
    <col min="15881" max="15881" width="10.7109375" customWidth="1"/>
    <col min="15884" max="15888" width="10.7109375" customWidth="1"/>
    <col min="15890" max="15897" width="10.7109375" customWidth="1"/>
    <col min="15899" max="15920" width="10.7109375" customWidth="1"/>
    <col min="15922" max="15926" width="10.7109375" customWidth="1"/>
    <col min="15928" max="15957" width="10.7109375" customWidth="1"/>
    <col min="15959" max="15959" width="10.7109375" customWidth="1"/>
    <col min="15962" max="15963" width="10.7109375" customWidth="1"/>
    <col min="15967" max="15968" width="10.7109375" customWidth="1"/>
    <col min="15970" max="15971" width="10.7109375" customWidth="1"/>
    <col min="15973" max="15973" width="10.7109375" customWidth="1"/>
    <col min="15976" max="15978" width="10.7109375" customWidth="1"/>
    <col min="15981" max="15981" width="10.7109375" customWidth="1"/>
    <col min="15983" max="16021" width="10.7109375" customWidth="1"/>
    <col min="16024" max="16024" width="10.7109375" customWidth="1"/>
    <col min="16027" max="16027" width="10.7109375" customWidth="1"/>
    <col min="16029" max="16029" width="10.7109375" customWidth="1"/>
    <col min="16032" max="16032" width="10.7109375" customWidth="1"/>
    <col min="16035" max="16035" width="10.7109375" customWidth="1"/>
    <col min="16037" max="16037" width="10.7109375" customWidth="1"/>
    <col min="16039" max="16039" width="10.7109375" customWidth="1"/>
    <col min="16041" max="16041" width="10.7109375" customWidth="1"/>
    <col min="16044" max="16049" width="10.7109375" customWidth="1"/>
    <col min="16055" max="16055" width="10.7109375" customWidth="1"/>
    <col min="16058" max="16060" width="10.7109375" customWidth="1"/>
    <col min="16064" max="16066" width="10.7109375" customWidth="1"/>
    <col min="16068" max="16070" width="10.7109375" customWidth="1"/>
    <col min="16072" max="16073" width="10.7109375" customWidth="1"/>
    <col min="16076" max="16076" width="10.7109375" customWidth="1"/>
    <col min="16078" max="16079" width="10.7109375" customWidth="1"/>
    <col min="16082" max="16089" width="10.7109375" customWidth="1"/>
    <col min="16091" max="16112" width="10.7109375" customWidth="1"/>
    <col min="16116" max="16116" width="10.7109375" customWidth="1"/>
    <col min="16118" max="16176" width="10.7109375" customWidth="1"/>
    <col min="16209" max="16209" width="10.7109375" customWidth="1"/>
    <col min="16214" max="16216" width="10.7109375" customWidth="1"/>
    <col min="16218" max="16220" width="10.7109375" customWidth="1"/>
    <col min="16224" max="16226" width="10.7109375" customWidth="1"/>
    <col min="16228" max="16230" width="10.7109375" customWidth="1"/>
    <col min="16232" max="16233" width="10.7109375" customWidth="1"/>
    <col min="16236" max="16236" width="10.7109375" customWidth="1"/>
    <col min="16238" max="16239" width="10.7109375" customWidth="1"/>
    <col min="16241" max="16244" width="10.7109375" customWidth="1"/>
    <col min="16249" max="16249" width="10.7109375" customWidth="1"/>
    <col min="16251" max="16251" width="10.7109375" customWidth="1"/>
    <col min="16256" max="16256" width="10.7109375" customWidth="1"/>
    <col min="16258" max="16261" width="10.7109375" customWidth="1"/>
    <col min="16263" max="16263" width="10.7109375" customWidth="1"/>
    <col min="16265" max="16265" width="10.7109375" customWidth="1"/>
    <col min="16268" max="16272" width="10.7109375" customWidth="1"/>
    <col min="16274" max="16281" width="10.7109375" customWidth="1"/>
    <col min="16283" max="16307" width="10.7109375" customWidth="1"/>
    <col min="16309" max="16309" width="10.7109375" customWidth="1"/>
    <col min="16314" max="16316" width="10.7109375" customWidth="1"/>
    <col min="16318" max="16318" width="10.7109375" customWidth="1"/>
    <col min="16320" max="16320" width="10.7109375" customWidth="1"/>
    <col min="16335" max="16335" width="10.7109375" customWidth="1"/>
    <col min="16340" max="16340" width="10.7109375" customWidth="1"/>
    <col min="16342" max="16343" width="10.7109375" customWidth="1"/>
    <col min="16346" max="16348" width="10.7109375" customWidth="1"/>
    <col min="16352" max="16354" width="10.7109375" customWidth="1"/>
    <col min="16356" max="16358" width="10.7109375" customWidth="1"/>
    <col min="16360" max="16361" width="10.7109375" customWidth="1"/>
    <col min="16364" max="16364" width="10.7109375" customWidth="1"/>
    <col min="16366" max="16367" width="10.7109375" customWidth="1"/>
    <col min="16369" max="16371" width="10.7109375" customWidth="1"/>
    <col min="16373" max="16374" width="10.7109375" customWidth="1"/>
    <col min="16378" max="16380" width="10.7109375" customWidth="1"/>
    <col min="16382" max="16382" width="10.7109375" customWidth="1"/>
    <col min="16384" max="16384" width="10.7109375" customWidth="1"/>
  </cols>
  <sheetData>
    <row r="1" spans="1:27" s="9" customFormat="1">
      <c r="A1" s="17" t="s">
        <v>0</v>
      </c>
      <c r="B1" s="9">
        <v>0</v>
      </c>
      <c r="C1" s="9">
        <v>0</v>
      </c>
      <c r="E1" s="9">
        <v>0</v>
      </c>
      <c r="F1" s="32"/>
      <c r="G1" s="32"/>
      <c r="H1"/>
      <c r="I1" s="38">
        <v>0</v>
      </c>
      <c r="J1" s="38">
        <v>0</v>
      </c>
      <c r="K1" s="38">
        <v>0</v>
      </c>
      <c r="L1" s="9">
        <v>0</v>
      </c>
      <c r="M1" s="9">
        <v>0</v>
      </c>
      <c r="N1" s="9">
        <v>0</v>
      </c>
      <c r="O1" s="34">
        <v>0</v>
      </c>
      <c r="P1" s="9">
        <v>0</v>
      </c>
      <c r="Q1" s="9">
        <v>0</v>
      </c>
      <c r="R1" s="9">
        <v>0</v>
      </c>
      <c r="S1" s="9">
        <v>0</v>
      </c>
      <c r="T1" s="9">
        <v>0</v>
      </c>
      <c r="U1" s="9">
        <v>0</v>
      </c>
      <c r="V1" s="9">
        <v>0</v>
      </c>
      <c r="W1" s="9">
        <v>0</v>
      </c>
      <c r="Y1" s="9">
        <v>0</v>
      </c>
      <c r="Z1" s="9">
        <v>0</v>
      </c>
      <c r="AA1" s="9">
        <v>0</v>
      </c>
    </row>
    <row r="2" spans="1:27" s="9" customFormat="1">
      <c r="A2" s="17" t="s">
        <v>1</v>
      </c>
      <c r="B2" s="9">
        <f>AVERAGE(M2:V2)</f>
        <v>0.25039531900814327</v>
      </c>
      <c r="E2" s="9">
        <v>0.34</v>
      </c>
      <c r="F2" s="38" t="e">
        <f>F21/F20</f>
        <v>#DIV/0!</v>
      </c>
      <c r="G2" s="32"/>
      <c r="H2" s="38">
        <f t="shared" ref="H2:N2" si="0">H21/H20</f>
        <v>0</v>
      </c>
      <c r="I2" s="38">
        <f t="shared" si="0"/>
        <v>7.1159489980528179E-3</v>
      </c>
      <c r="J2" s="38">
        <f t="shared" si="0"/>
        <v>2.6450862893274737E-2</v>
      </c>
      <c r="K2" s="38">
        <f t="shared" si="0"/>
        <v>1.4051831585988075E-2</v>
      </c>
      <c r="L2" s="9">
        <f t="shared" si="0"/>
        <v>-3.8571251602880663E-2</v>
      </c>
      <c r="M2" s="9">
        <f t="shared" si="0"/>
        <v>0.40627057620375168</v>
      </c>
      <c r="N2" s="9">
        <f t="shared" si="0"/>
        <v>0.11390377008962099</v>
      </c>
      <c r="O2" s="34">
        <v>0</v>
      </c>
      <c r="P2" s="9">
        <f>P21/P20</f>
        <v>0.23338519671038008</v>
      </c>
      <c r="Q2" s="9">
        <v>0</v>
      </c>
      <c r="R2" s="9">
        <f t="shared" ref="R2:W2" si="1">R21/R20</f>
        <v>0.61771635993122331</v>
      </c>
      <c r="S2" s="9">
        <f t="shared" si="1"/>
        <v>0.2841806125670982</v>
      </c>
      <c r="T2" s="9">
        <f t="shared" si="1"/>
        <v>0.40695781591553881</v>
      </c>
      <c r="U2" s="9">
        <f t="shared" si="1"/>
        <v>0.34154655037984116</v>
      </c>
      <c r="V2" s="9">
        <f t="shared" si="1"/>
        <v>9.9992308283978162E-2</v>
      </c>
      <c r="W2" s="9">
        <f t="shared" si="1"/>
        <v>0.20099592575826167</v>
      </c>
      <c r="Y2" s="9">
        <v>0.34</v>
      </c>
      <c r="Z2" s="9">
        <f>Z21/Z20</f>
        <v>-3.8571251602880663E-2</v>
      </c>
      <c r="AA2" s="9">
        <f>AA21/AA20</f>
        <v>-3.8571251602880663E-2</v>
      </c>
    </row>
    <row r="3" spans="1:27" s="9" customFormat="1">
      <c r="A3" s="17" t="s">
        <v>2</v>
      </c>
      <c r="F3" s="38">
        <v>0.1</v>
      </c>
      <c r="G3" s="32"/>
      <c r="H3" s="38">
        <v>0.1</v>
      </c>
      <c r="I3" s="38">
        <v>0.1</v>
      </c>
      <c r="J3" s="38">
        <v>0.1</v>
      </c>
      <c r="K3" s="38">
        <v>0.1</v>
      </c>
      <c r="L3" s="9">
        <v>0.1</v>
      </c>
      <c r="M3" s="9">
        <v>0.1</v>
      </c>
      <c r="N3" s="9">
        <v>0.1</v>
      </c>
      <c r="O3" s="34">
        <v>0.1</v>
      </c>
      <c r="P3" s="9">
        <v>0.12</v>
      </c>
      <c r="Q3" s="9">
        <v>0.14000000000000001</v>
      </c>
      <c r="R3" s="9">
        <v>0.16</v>
      </c>
      <c r="S3" s="9">
        <v>0.18</v>
      </c>
      <c r="T3" s="9">
        <v>0.15</v>
      </c>
      <c r="U3" s="9">
        <v>0.12</v>
      </c>
      <c r="Z3" s="9">
        <v>0.1</v>
      </c>
      <c r="AA3" s="9">
        <v>0.1</v>
      </c>
    </row>
    <row r="4" spans="1:27" s="9" customFormat="1">
      <c r="A4" s="17" t="s">
        <v>104</v>
      </c>
      <c r="B4" s="9">
        <f>AVERAGE(G4:P4)</f>
        <v>0.28235374019485265</v>
      </c>
      <c r="F4" s="38">
        <f>AVERAGE(H4:V4)</f>
        <v>0.22954564197463076</v>
      </c>
      <c r="G4" s="32"/>
      <c r="H4" s="38">
        <f>H5/I12</f>
        <v>0.14926569859323038</v>
      </c>
      <c r="I4" s="38">
        <f>I5/J12</f>
        <v>0.30886025719969135</v>
      </c>
      <c r="J4" s="38">
        <f>J5/K12</f>
        <v>0.3131577601924822</v>
      </c>
      <c r="K4" s="38">
        <f>K5/L12</f>
        <v>0.23470830065350573</v>
      </c>
      <c r="L4" s="9">
        <f>L5/AA12</f>
        <v>0.67396757101419258</v>
      </c>
      <c r="M4" s="9">
        <f t="shared" ref="M4:W4" si="2">M5/N12</f>
        <v>0.34006871064757171</v>
      </c>
      <c r="N4" s="9">
        <f t="shared" si="2"/>
        <v>7.8398633415765376E-2</v>
      </c>
      <c r="O4" s="34">
        <f t="shared" si="2"/>
        <v>7.347050522806331E-2</v>
      </c>
      <c r="P4" s="9">
        <f t="shared" si="2"/>
        <v>0.369286224809171</v>
      </c>
      <c r="Q4" s="9">
        <f t="shared" si="2"/>
        <v>0.15906434410890222</v>
      </c>
      <c r="R4" s="9">
        <f t="shared" si="2"/>
        <v>-0.12412093993255031</v>
      </c>
      <c r="S4" s="9">
        <f t="shared" si="2"/>
        <v>0.61554764700361442</v>
      </c>
      <c r="T4" s="9">
        <f t="shared" si="2"/>
        <v>-9.7609372380308743E-2</v>
      </c>
      <c r="U4" s="9">
        <f t="shared" si="2"/>
        <v>0.40211789596644909</v>
      </c>
      <c r="V4" s="9">
        <f t="shared" si="2"/>
        <v>-5.2998606900318782E-2</v>
      </c>
      <c r="W4" s="9" t="e">
        <f t="shared" si="2"/>
        <v>#DIV/0!</v>
      </c>
      <c r="Y4" s="9">
        <f>Y5/M12</f>
        <v>0.77309204986759539</v>
      </c>
      <c r="Z4" s="9" t="e">
        <f>Z5/#REF!</f>
        <v>#REF!</v>
      </c>
      <c r="AA4" s="9">
        <f>AA5/M12</f>
        <v>0.21060622429531961</v>
      </c>
    </row>
    <row r="5" spans="1:27">
      <c r="A5" s="11" t="s">
        <v>3</v>
      </c>
      <c r="B5" s="6">
        <f>AVERAGE(G5:R5)</f>
        <v>1311266.4545454546</v>
      </c>
      <c r="C5" s="9">
        <f>B5/B$12</f>
        <v>0.40380721056198954</v>
      </c>
      <c r="D5" s="2"/>
      <c r="F5" s="33"/>
      <c r="H5" s="33">
        <f t="shared" ref="H5:W5" si="3">H12-I12</f>
        <v>2092460</v>
      </c>
      <c r="I5" s="33">
        <f t="shared" si="3"/>
        <v>3308003</v>
      </c>
      <c r="J5" s="33">
        <f t="shared" si="3"/>
        <v>2554172</v>
      </c>
      <c r="K5" s="33">
        <f t="shared" si="3"/>
        <v>1550426</v>
      </c>
      <c r="L5" s="6">
        <f t="shared" si="3"/>
        <v>2968044</v>
      </c>
      <c r="M5" s="6">
        <f t="shared" si="3"/>
        <v>923141</v>
      </c>
      <c r="N5" s="6">
        <f t="shared" si="3"/>
        <v>197347</v>
      </c>
      <c r="O5" s="20">
        <f t="shared" si="3"/>
        <v>172284</v>
      </c>
      <c r="P5" s="6">
        <f t="shared" si="3"/>
        <v>632413</v>
      </c>
      <c r="Q5" s="6">
        <f t="shared" si="3"/>
        <v>235019</v>
      </c>
      <c r="R5" s="6">
        <f t="shared" si="3"/>
        <v>-209378</v>
      </c>
      <c r="S5" s="6">
        <f t="shared" si="3"/>
        <v>642729</v>
      </c>
      <c r="T5" s="6">
        <f t="shared" si="3"/>
        <v>-112944</v>
      </c>
      <c r="U5" s="6">
        <f t="shared" si="3"/>
        <v>331849</v>
      </c>
      <c r="V5" s="6">
        <f t="shared" si="3"/>
        <v>-46185</v>
      </c>
      <c r="W5" s="6">
        <f t="shared" si="3"/>
        <v>871438</v>
      </c>
      <c r="X5" s="2"/>
      <c r="Y5" s="2">
        <f>Y12*12/8-M12</f>
        <v>2812287</v>
      </c>
      <c r="Z5" s="6" t="e">
        <f>Z12-#REF!</f>
        <v>#REF!</v>
      </c>
      <c r="AA5" s="6">
        <f>AA12-M12</f>
        <v>766125</v>
      </c>
    </row>
    <row r="6" spans="1:27">
      <c r="A6" s="11" t="s">
        <v>4</v>
      </c>
      <c r="C6" s="2"/>
      <c r="D6" s="2"/>
      <c r="F6" s="33"/>
      <c r="H6" s="33">
        <f>I49-H49</f>
        <v>-2956704</v>
      </c>
      <c r="I6" s="33">
        <f>J49-I49</f>
        <v>934980</v>
      </c>
      <c r="J6" s="33">
        <f>K49-J49</f>
        <v>727947</v>
      </c>
      <c r="K6" s="33">
        <f>L49-K49</f>
        <v>61404</v>
      </c>
      <c r="L6" s="6">
        <f>AA49-L49</f>
        <v>410791</v>
      </c>
      <c r="M6" s="6">
        <f t="shared" ref="M6:V6" si="4">N49-M49</f>
        <v>129412</v>
      </c>
      <c r="N6" s="6">
        <f t="shared" si="4"/>
        <v>58113</v>
      </c>
      <c r="O6" s="20">
        <f t="shared" si="4"/>
        <v>68078</v>
      </c>
      <c r="P6" s="6">
        <f t="shared" si="4"/>
        <v>41902</v>
      </c>
      <c r="Q6" s="6">
        <f t="shared" si="4"/>
        <v>39944</v>
      </c>
      <c r="R6" s="6">
        <f t="shared" si="4"/>
        <v>14650</v>
      </c>
      <c r="S6" s="6">
        <f t="shared" si="4"/>
        <v>111750</v>
      </c>
      <c r="T6" s="6">
        <f t="shared" si="4"/>
        <v>35293</v>
      </c>
      <c r="U6" s="6">
        <f t="shared" si="4"/>
        <v>38259</v>
      </c>
      <c r="V6" s="6">
        <f t="shared" si="4"/>
        <v>31438</v>
      </c>
      <c r="W6" s="6">
        <v>25000</v>
      </c>
      <c r="X6" s="2"/>
      <c r="Y6" s="2"/>
      <c r="Z6" s="6" t="e">
        <f>#REF!-Z49</f>
        <v>#REF!</v>
      </c>
      <c r="AA6" s="6">
        <f>M49-AA49</f>
        <v>178356</v>
      </c>
    </row>
    <row r="7" spans="1:27">
      <c r="A7" s="11"/>
      <c r="C7" s="2"/>
      <c r="D7" s="2"/>
      <c r="X7" s="2"/>
      <c r="Y7" s="2"/>
    </row>
    <row r="8" spans="1:27">
      <c r="A8" s="11"/>
      <c r="C8" s="2"/>
      <c r="D8" s="2"/>
      <c r="K8"/>
      <c r="L8" s="33" t="s">
        <v>5</v>
      </c>
      <c r="X8" s="2"/>
      <c r="Y8" s="2"/>
    </row>
    <row r="9" spans="1:27">
      <c r="A9" s="2"/>
      <c r="C9" s="19" t="s">
        <v>6</v>
      </c>
      <c r="D9" s="19" t="s">
        <v>7</v>
      </c>
      <c r="J9"/>
      <c r="K9"/>
      <c r="L9" s="33" t="s">
        <v>8</v>
      </c>
      <c r="X9" s="2"/>
      <c r="Y9" s="2"/>
    </row>
    <row r="10" spans="1:27">
      <c r="B10" s="18" t="s">
        <v>9</v>
      </c>
      <c r="C10" s="18" t="s">
        <v>10</v>
      </c>
      <c r="D10" s="18" t="s">
        <v>10</v>
      </c>
      <c r="E10">
        <v>1989</v>
      </c>
      <c r="F10" s="30">
        <v>1994</v>
      </c>
      <c r="G10" s="30">
        <v>1993</v>
      </c>
      <c r="H10" s="30">
        <v>1992</v>
      </c>
      <c r="I10" s="30">
        <v>1991</v>
      </c>
      <c r="J10" s="30">
        <v>1990</v>
      </c>
      <c r="K10" s="42">
        <v>1989</v>
      </c>
      <c r="L10" s="18" t="s">
        <v>11</v>
      </c>
      <c r="M10">
        <v>1988</v>
      </c>
      <c r="N10">
        <v>1987</v>
      </c>
      <c r="O10" s="18">
        <v>1986</v>
      </c>
      <c r="P10">
        <v>1985</v>
      </c>
      <c r="Q10">
        <v>1984</v>
      </c>
      <c r="R10">
        <v>1983</v>
      </c>
      <c r="S10">
        <v>1982</v>
      </c>
      <c r="T10">
        <v>1981</v>
      </c>
      <c r="U10">
        <v>1980</v>
      </c>
      <c r="V10">
        <v>1979</v>
      </c>
      <c r="W10">
        <v>1978</v>
      </c>
      <c r="Y10" s="18" t="s">
        <v>11</v>
      </c>
      <c r="Z10" s="18" t="s">
        <v>11</v>
      </c>
      <c r="AA10" s="18" t="s">
        <v>11</v>
      </c>
    </row>
    <row r="11" spans="1:27" s="18" customFormat="1">
      <c r="A11" s="19"/>
      <c r="B11" s="20"/>
      <c r="C11" s="19" t="s">
        <v>12</v>
      </c>
      <c r="D11" s="19" t="s">
        <v>12</v>
      </c>
      <c r="E11" s="20" t="s">
        <v>13</v>
      </c>
      <c r="F11" s="40" t="s">
        <v>14</v>
      </c>
      <c r="G11" s="40" t="s">
        <v>14</v>
      </c>
      <c r="H11" s="40" t="s">
        <v>14</v>
      </c>
      <c r="I11" s="40" t="s">
        <v>14</v>
      </c>
      <c r="J11" s="40" t="s">
        <v>14</v>
      </c>
      <c r="K11" s="40" t="s">
        <v>14</v>
      </c>
      <c r="L11" s="20" t="s">
        <v>15</v>
      </c>
      <c r="M11" s="20" t="s">
        <v>14</v>
      </c>
      <c r="N11" s="20" t="s">
        <v>14</v>
      </c>
      <c r="O11" s="20"/>
      <c r="P11" s="20"/>
      <c r="Q11" s="20"/>
      <c r="R11" s="20"/>
      <c r="S11" s="20"/>
      <c r="T11" s="20"/>
      <c r="U11" s="20"/>
      <c r="V11" s="20"/>
      <c r="W11" s="20"/>
      <c r="X11" s="19"/>
      <c r="Y11" s="19" t="s">
        <v>13</v>
      </c>
      <c r="Z11" s="20" t="s">
        <v>14</v>
      </c>
      <c r="AA11" s="20" t="s">
        <v>14</v>
      </c>
    </row>
    <row r="12" spans="1:27">
      <c r="A12" s="11" t="s">
        <v>16</v>
      </c>
      <c r="B12" s="6">
        <f>AVERAGE(J12:W12)</f>
        <v>3247258.6428571427</v>
      </c>
      <c r="C12" s="9">
        <f>B12/B$12</f>
        <v>1</v>
      </c>
      <c r="D12" s="9">
        <f>M12/$M$12</f>
        <v>1</v>
      </c>
      <c r="E12" s="6">
        <v>7500000</v>
      </c>
      <c r="F12" s="35">
        <v>18844433.789999999</v>
      </c>
      <c r="G12" s="35">
        <f>14833295+1571717</f>
        <v>16405012</v>
      </c>
      <c r="H12" s="33">
        <v>16110818</v>
      </c>
      <c r="I12" s="33">
        <f>14098241-79883</f>
        <v>14018358</v>
      </c>
      <c r="J12" s="33">
        <f>10736429-26074</f>
        <v>10710355</v>
      </c>
      <c r="K12" s="33">
        <f>8157928-1745</f>
        <v>8156183</v>
      </c>
      <c r="L12" s="6">
        <f>IF(AA12&lt;&gt;0,AA12*3/2,CHAR(20))</f>
        <v>6605757</v>
      </c>
      <c r="M12" s="6">
        <f>3139198+485967+12548</f>
        <v>3637713</v>
      </c>
      <c r="N12" s="6">
        <f>2610626+103946</f>
        <v>2714572</v>
      </c>
      <c r="O12" s="20">
        <v>2517225</v>
      </c>
      <c r="P12" s="6">
        <v>2344941</v>
      </c>
      <c r="Q12" s="6">
        <v>1712528</v>
      </c>
      <c r="R12" s="6">
        <v>1477509</v>
      </c>
      <c r="S12" s="6">
        <v>1686887</v>
      </c>
      <c r="T12" s="6">
        <v>1044158</v>
      </c>
      <c r="U12" s="6">
        <v>1157102</v>
      </c>
      <c r="V12" s="6">
        <v>825253</v>
      </c>
      <c r="W12" s="6">
        <v>871438</v>
      </c>
      <c r="X12" s="2"/>
      <c r="Y12" s="2">
        <v>4300000</v>
      </c>
      <c r="Z12" s="6">
        <f>3750472+653366</f>
        <v>4403838</v>
      </c>
      <c r="AA12" s="6">
        <f>3750472+653366</f>
        <v>4403838</v>
      </c>
    </row>
    <row r="13" spans="1:27">
      <c r="A13" s="11" t="s">
        <v>17</v>
      </c>
      <c r="B13" s="6">
        <f>AVERAGE(J13:W13)</f>
        <v>2339554.5357142859</v>
      </c>
      <c r="C13" s="9">
        <f>B13/B$12</f>
        <v>0.72047064709813147</v>
      </c>
      <c r="D13" s="9">
        <f>M13/$M$12</f>
        <v>0.7194476309703377</v>
      </c>
      <c r="E13" s="6">
        <f>E$12*$C13</f>
        <v>5403529.8532359861</v>
      </c>
      <c r="H13" s="33">
        <v>12501793</v>
      </c>
      <c r="I13" s="33">
        <v>10930710</v>
      </c>
      <c r="J13" s="33">
        <v>8357920</v>
      </c>
      <c r="K13" s="33">
        <v>6001032</v>
      </c>
      <c r="L13" s="6">
        <f>IF(AA13&lt;&gt;0,AA13*3/2,CHAR(20))</f>
        <v>4637959.5</v>
      </c>
      <c r="M13" s="6">
        <v>2617144</v>
      </c>
      <c r="N13" s="6">
        <v>1961863</v>
      </c>
      <c r="O13" s="20">
        <f>2098751-O6</f>
        <v>2030673</v>
      </c>
      <c r="P13" s="6">
        <f>1725009-P6</f>
        <v>1683107</v>
      </c>
      <c r="Q13" s="6">
        <f>1118631-Q6</f>
        <v>1078687</v>
      </c>
      <c r="R13" s="6">
        <f>985775-Q6</f>
        <v>945831</v>
      </c>
      <c r="S13" s="6">
        <f>1081727-Q6</f>
        <v>1041783</v>
      </c>
      <c r="T13" s="6">
        <f>809822-Q6</f>
        <v>769878</v>
      </c>
      <c r="U13" s="6">
        <f>726028-Q6</f>
        <v>686084</v>
      </c>
      <c r="V13" s="6">
        <f>521099-Q6</f>
        <v>481155</v>
      </c>
      <c r="W13" s="6">
        <f>500591-Q6</f>
        <v>460647</v>
      </c>
      <c r="X13" s="2"/>
      <c r="Y13" s="2">
        <f>Y$12*$C13</f>
        <v>3098023.7825219654</v>
      </c>
      <c r="Z13" s="6">
        <v>3091973</v>
      </c>
      <c r="AA13" s="6">
        <v>3091973</v>
      </c>
    </row>
    <row r="14" spans="1:27" ht="1" customHeight="1">
      <c r="A14" s="28" t="str">
        <f>REPT("-",100)</f>
        <v>----------------------------------------------------------------------------------------------------</v>
      </c>
      <c r="B14" s="23" t="s">
        <v>18</v>
      </c>
      <c r="C14" s="21" t="s">
        <v>18</v>
      </c>
      <c r="D14" s="21" t="s">
        <v>18</v>
      </c>
      <c r="E14" s="23" t="s">
        <v>18</v>
      </c>
      <c r="F14" s="22"/>
      <c r="G14" s="22"/>
      <c r="H14" s="39"/>
      <c r="I14" s="39"/>
      <c r="J14" s="39" t="s">
        <v>18</v>
      </c>
      <c r="K14" s="39" t="s">
        <v>18</v>
      </c>
      <c r="L14" s="1" t="str">
        <f>IF(AA14&lt;&gt;0,AA14*3/2,CHAR(20))</f>
        <v>_x0014_</v>
      </c>
      <c r="M14" s="23" t="s">
        <v>18</v>
      </c>
      <c r="N14" s="23" t="s">
        <v>18</v>
      </c>
      <c r="O14" s="46" t="s">
        <v>18</v>
      </c>
      <c r="P14" s="23" t="s">
        <v>18</v>
      </c>
      <c r="Q14" s="23" t="s">
        <v>18</v>
      </c>
      <c r="R14" s="23" t="s">
        <v>18</v>
      </c>
      <c r="S14" s="23" t="s">
        <v>18</v>
      </c>
      <c r="T14" s="23" t="s">
        <v>18</v>
      </c>
      <c r="U14" s="23" t="s">
        <v>18</v>
      </c>
      <c r="V14" s="23" t="s">
        <v>18</v>
      </c>
      <c r="W14" s="23" t="s">
        <v>18</v>
      </c>
      <c r="X14" s="28"/>
      <c r="Y14" s="21" t="s">
        <v>18</v>
      </c>
      <c r="Z14" s="1"/>
      <c r="AA14" s="1"/>
    </row>
    <row r="15" spans="1:27">
      <c r="A15" s="11" t="s">
        <v>19</v>
      </c>
      <c r="B15" s="6">
        <f>AVERAGE(J15:W15)</f>
        <v>907704.10714285716</v>
      </c>
      <c r="C15" s="9">
        <f>B15/B$12</f>
        <v>0.27952935290186859</v>
      </c>
      <c r="D15" s="9">
        <f>M15/$M$12</f>
        <v>0.2805523690296623</v>
      </c>
      <c r="E15" s="6">
        <f>E12-E13</f>
        <v>2096470.1467640139</v>
      </c>
      <c r="H15" s="33">
        <f>H12-H13</f>
        <v>3609025</v>
      </c>
      <c r="I15" s="33">
        <f>I12-I13</f>
        <v>3087648</v>
      </c>
      <c r="J15" s="33">
        <f>J12-J13</f>
        <v>2352435</v>
      </c>
      <c r="K15" s="33">
        <f>K12-K13</f>
        <v>2155151</v>
      </c>
      <c r="L15" s="6">
        <f>IF(AA15&lt;&gt;0,AA15*3/2,CHAR(20))</f>
        <v>1967797.5</v>
      </c>
      <c r="M15" s="6">
        <f t="shared" ref="M15:W15" si="5">M12-M13</f>
        <v>1020569</v>
      </c>
      <c r="N15" s="6">
        <f t="shared" si="5"/>
        <v>752709</v>
      </c>
      <c r="O15" s="20">
        <f t="shared" si="5"/>
        <v>486552</v>
      </c>
      <c r="P15" s="6">
        <f t="shared" si="5"/>
        <v>661834</v>
      </c>
      <c r="Q15" s="6">
        <f t="shared" si="5"/>
        <v>633841</v>
      </c>
      <c r="R15" s="6">
        <f t="shared" si="5"/>
        <v>531678</v>
      </c>
      <c r="S15" s="6">
        <f t="shared" si="5"/>
        <v>645104</v>
      </c>
      <c r="T15" s="6">
        <f t="shared" si="5"/>
        <v>274280</v>
      </c>
      <c r="U15" s="6">
        <f t="shared" si="5"/>
        <v>471018</v>
      </c>
      <c r="V15" s="6">
        <f t="shared" si="5"/>
        <v>344098</v>
      </c>
      <c r="W15" s="6">
        <f t="shared" si="5"/>
        <v>410791</v>
      </c>
      <c r="X15" s="2"/>
      <c r="Y15" s="2">
        <f>Y12-Y13</f>
        <v>1201976.2174780346</v>
      </c>
      <c r="Z15" s="6">
        <f>Z12-Z13</f>
        <v>1311865</v>
      </c>
      <c r="AA15" s="6">
        <f>AA12-AA13</f>
        <v>1311865</v>
      </c>
    </row>
    <row r="16" spans="1:27">
      <c r="A16" s="11" t="s">
        <v>20</v>
      </c>
      <c r="C16" s="9"/>
      <c r="D16" s="9"/>
      <c r="H16" s="33"/>
      <c r="I16" s="33"/>
      <c r="L16" s="6" t="str">
        <f>IF(AA16&lt;&gt;0,AA16*3/2," ")</f>
        <v xml:space="preserve"> </v>
      </c>
      <c r="X16" s="2"/>
      <c r="Y16" s="2"/>
    </row>
    <row r="17" spans="1:27">
      <c r="A17" s="11" t="s">
        <v>21</v>
      </c>
      <c r="B17" s="6">
        <f>AVERAGE(J17:W17)</f>
        <v>645715.78571428568</v>
      </c>
      <c r="C17" s="9">
        <f>B17/B$12</f>
        <v>0.19884950868777865</v>
      </c>
      <c r="D17" s="9">
        <f>M17/$M$12</f>
        <v>0.17297653773126137</v>
      </c>
      <c r="E17" s="6">
        <f>E$12*$D17</f>
        <v>1297324.0329844602</v>
      </c>
      <c r="H17" s="33">
        <f>2377221+629361</f>
        <v>3006582</v>
      </c>
      <c r="I17" s="33">
        <f>1192376+504770</f>
        <v>1697146</v>
      </c>
      <c r="J17" s="33">
        <v>1385490</v>
      </c>
      <c r="K17" s="33">
        <v>1267030</v>
      </c>
      <c r="L17" s="6">
        <f>IF(AA17&lt;&gt;0,AA17*3/2,CHAR(20))</f>
        <v>1002147</v>
      </c>
      <c r="M17" s="6">
        <v>629239</v>
      </c>
      <c r="N17" s="6">
        <v>614225</v>
      </c>
      <c r="O17" s="20">
        <f>520502+O6</f>
        <v>588580</v>
      </c>
      <c r="P17" s="6">
        <f>512070+P6</f>
        <v>553972</v>
      </c>
      <c r="Q17" s="6">
        <f>608660+Q6</f>
        <v>648604</v>
      </c>
      <c r="R17" s="6">
        <f>487421+Q6</f>
        <v>527365</v>
      </c>
      <c r="S17" s="6">
        <f>470379+Q6</f>
        <v>510323</v>
      </c>
      <c r="T17" s="6">
        <f>295207+Q6</f>
        <v>335151</v>
      </c>
      <c r="U17" s="6">
        <f>286294+Q6</f>
        <v>326238</v>
      </c>
      <c r="V17" s="6">
        <f>261990+Q6</f>
        <v>301934</v>
      </c>
      <c r="W17" s="6">
        <f>309779+Q6</f>
        <v>349723</v>
      </c>
      <c r="X17" s="2"/>
      <c r="Y17" s="2">
        <f>Y$12*$D17</f>
        <v>743799.11224442394</v>
      </c>
      <c r="Z17" s="6">
        <v>668098</v>
      </c>
      <c r="AA17" s="6">
        <v>668098</v>
      </c>
    </row>
    <row r="18" spans="1:27">
      <c r="A18" s="11" t="s">
        <v>22</v>
      </c>
      <c r="B18" s="6">
        <f>AVERAGE(J18:W18)</f>
        <v>42178.178571428572</v>
      </c>
      <c r="C18" s="9">
        <f>B18/B$12</f>
        <v>1.2988857128521662E-2</v>
      </c>
      <c r="D18" s="9">
        <f>M18/$M$12</f>
        <v>9.4633633824328638E-3</v>
      </c>
      <c r="E18" s="6">
        <f>E$12*$C18</f>
        <v>97416.428463912467</v>
      </c>
      <c r="H18" s="33">
        <v>587826</v>
      </c>
      <c r="I18" s="33">
        <f>542891-79883</f>
        <v>463008</v>
      </c>
      <c r="J18" s="33">
        <f>236900-26074</f>
        <v>210826</v>
      </c>
      <c r="K18" s="33">
        <f>178215-1745</f>
        <v>176470</v>
      </c>
      <c r="L18" s="6">
        <f>IF(AA18&lt;&gt;0,AA18*3/2,CHAR(20))</f>
        <v>69607.5</v>
      </c>
      <c r="M18" s="6">
        <f>37096-2671</f>
        <v>34425</v>
      </c>
      <c r="N18" s="6">
        <f>24884-2922-3316</f>
        <v>18646</v>
      </c>
      <c r="O18" s="20">
        <f>32584-9798-9280</f>
        <v>13506</v>
      </c>
      <c r="P18" s="6">
        <f>27189-3750-5557</f>
        <v>17882</v>
      </c>
      <c r="Q18" s="6">
        <f>26431-25151-8587</f>
        <v>-7307</v>
      </c>
      <c r="R18" s="6">
        <f>34856-14840</f>
        <v>20016</v>
      </c>
      <c r="S18" s="6">
        <v>23936</v>
      </c>
      <c r="T18" s="6">
        <v>3632</v>
      </c>
      <c r="U18" s="6">
        <v>-149</v>
      </c>
      <c r="V18" s="6">
        <v>3161</v>
      </c>
      <c r="W18" s="6">
        <v>5843</v>
      </c>
      <c r="X18" s="2"/>
      <c r="Y18" s="2">
        <f>Y$12*$C18</f>
        <v>55852.085652643145</v>
      </c>
      <c r="Z18" s="6">
        <f>50696-4291</f>
        <v>46405</v>
      </c>
      <c r="AA18" s="6">
        <f>50696-4291</f>
        <v>46405</v>
      </c>
    </row>
    <row r="19" spans="1:27">
      <c r="A19" s="14" t="s">
        <v>18</v>
      </c>
      <c r="B19" s="1"/>
      <c r="C19" s="28"/>
      <c r="D19" s="28"/>
      <c r="E19" s="1"/>
      <c r="F19" s="29"/>
      <c r="G19" s="29"/>
      <c r="H19" s="27"/>
      <c r="I19" s="27"/>
      <c r="J19" s="27"/>
      <c r="K19" s="27"/>
      <c r="L19" s="1" t="str">
        <f>IF(AA19&lt;&gt;0,AA19*3/2," ")</f>
        <v xml:space="preserve"> </v>
      </c>
      <c r="M19" s="1"/>
      <c r="N19" s="1"/>
      <c r="O19" s="46"/>
      <c r="P19" s="1"/>
      <c r="Q19" s="1"/>
      <c r="R19" s="1"/>
      <c r="S19" s="1"/>
      <c r="T19" s="1"/>
      <c r="U19" s="1"/>
      <c r="V19" s="1"/>
      <c r="W19" s="1"/>
      <c r="X19" s="28"/>
      <c r="Y19" s="4"/>
      <c r="Z19" s="1"/>
      <c r="AA19" s="1"/>
    </row>
    <row r="20" spans="1:27">
      <c r="A20" s="11" t="s">
        <v>23</v>
      </c>
      <c r="B20" s="6">
        <f>AVERAGE(J20:W20)</f>
        <v>219810.14285714287</v>
      </c>
      <c r="C20" s="9">
        <f>B20/B$12</f>
        <v>6.7690987085568297E-2</v>
      </c>
      <c r="D20" s="9">
        <f>M20/$M$12</f>
        <v>9.8112467915968088E-2</v>
      </c>
      <c r="E20" s="6">
        <f>E15-(E17+E18)</f>
        <v>701729.68531564111</v>
      </c>
      <c r="H20" s="33">
        <f>H15-(H17+H18)</f>
        <v>14617</v>
      </c>
      <c r="I20" s="33">
        <f>I15-(I17+I18)</f>
        <v>927494</v>
      </c>
      <c r="J20" s="33">
        <f>J15-(J17+J18)</f>
        <v>756119</v>
      </c>
      <c r="K20" s="33">
        <f>K15-(K17+K18)</f>
        <v>711651</v>
      </c>
      <c r="L20" s="6">
        <f>IF(AA20&lt;&gt;0,AA20*3/2,CHAR(20))</f>
        <v>896043</v>
      </c>
      <c r="M20" s="6">
        <f t="shared" ref="M20:W20" si="6">M15-(M17+M18)</f>
        <v>356905</v>
      </c>
      <c r="N20" s="6">
        <f t="shared" si="6"/>
        <v>119838</v>
      </c>
      <c r="O20" s="20">
        <f t="shared" si="6"/>
        <v>-115534</v>
      </c>
      <c r="P20" s="6">
        <f t="shared" si="6"/>
        <v>89980</v>
      </c>
      <c r="Q20" s="6">
        <f t="shared" si="6"/>
        <v>-7456</v>
      </c>
      <c r="R20" s="6">
        <f t="shared" si="6"/>
        <v>-15703</v>
      </c>
      <c r="S20" s="6">
        <f t="shared" si="6"/>
        <v>110845</v>
      </c>
      <c r="T20" s="6">
        <f t="shared" si="6"/>
        <v>-64503</v>
      </c>
      <c r="U20" s="6">
        <f t="shared" si="6"/>
        <v>144929</v>
      </c>
      <c r="V20" s="6">
        <f t="shared" si="6"/>
        <v>39003</v>
      </c>
      <c r="W20" s="6">
        <f t="shared" si="6"/>
        <v>55225</v>
      </c>
      <c r="X20" s="2"/>
      <c r="Y20" s="2">
        <f>Y15-(Y17+Y18)</f>
        <v>402325.01958096749</v>
      </c>
      <c r="Z20" s="6">
        <f>Z15-(Z17+Z18)</f>
        <v>597362</v>
      </c>
      <c r="AA20" s="6">
        <f>AA15-(AA17+AA18)</f>
        <v>597362</v>
      </c>
    </row>
    <row r="21" spans="1:27">
      <c r="A21" s="11" t="s">
        <v>24</v>
      </c>
      <c r="B21" s="6">
        <f>AVERAGE(J21:W21)</f>
        <v>14752.75</v>
      </c>
      <c r="C21" s="9">
        <f>B21/B$12</f>
        <v>4.5431398057715544E-3</v>
      </c>
      <c r="D21" s="9">
        <f>M21/$M$12</f>
        <v>3.9860208872992457E-2</v>
      </c>
      <c r="E21" s="6">
        <f>E$20*E$2</f>
        <v>238588.09300731801</v>
      </c>
      <c r="H21" s="33"/>
      <c r="I21" s="33">
        <v>6600</v>
      </c>
      <c r="J21" s="33">
        <v>20000</v>
      </c>
      <c r="K21" s="33">
        <v>10000</v>
      </c>
      <c r="L21" s="6">
        <f>IF(AA21&lt;&gt;0,AA21*3/2,CHAR(20))</f>
        <v>-34561.5</v>
      </c>
      <c r="M21" s="6">
        <v>145000</v>
      </c>
      <c r="N21" s="6">
        <v>13650</v>
      </c>
      <c r="O21" s="20">
        <v>-21000</v>
      </c>
      <c r="P21" s="6">
        <v>21000</v>
      </c>
      <c r="Q21" s="6">
        <v>-7600</v>
      </c>
      <c r="R21" s="6">
        <v>-9700</v>
      </c>
      <c r="S21" s="6">
        <v>31500</v>
      </c>
      <c r="T21" s="6">
        <v>-26250</v>
      </c>
      <c r="U21" s="6">
        <v>49500</v>
      </c>
      <c r="V21" s="6">
        <v>3900</v>
      </c>
      <c r="W21" s="6">
        <v>11100</v>
      </c>
      <c r="X21" s="2"/>
      <c r="Y21" s="2">
        <f>Y$20*Y$2</f>
        <v>136790.50665752895</v>
      </c>
      <c r="Z21" s="6">
        <v>-23041</v>
      </c>
      <c r="AA21" s="6">
        <v>-23041</v>
      </c>
    </row>
    <row r="22" spans="1:27">
      <c r="A22" s="24" t="s">
        <v>18</v>
      </c>
      <c r="C22" s="24" t="s">
        <v>18</v>
      </c>
      <c r="D22" s="24" t="s">
        <v>18</v>
      </c>
      <c r="E22" s="26" t="s">
        <v>18</v>
      </c>
      <c r="F22" s="25"/>
      <c r="G22" s="25"/>
      <c r="H22" s="33"/>
      <c r="I22" s="33"/>
      <c r="L22" s="26" t="s">
        <v>18</v>
      </c>
      <c r="O22" s="20" t="s">
        <v>18</v>
      </c>
      <c r="P22" s="26" t="s">
        <v>18</v>
      </c>
      <c r="Q22" s="26" t="s">
        <v>18</v>
      </c>
      <c r="R22" s="26" t="s">
        <v>18</v>
      </c>
      <c r="S22" s="26" t="s">
        <v>18</v>
      </c>
      <c r="T22" s="26" t="s">
        <v>18</v>
      </c>
      <c r="U22" s="26" t="s">
        <v>18</v>
      </c>
      <c r="V22" s="26" t="s">
        <v>18</v>
      </c>
      <c r="W22" s="26" t="s">
        <v>18</v>
      </c>
      <c r="X22" s="2"/>
      <c r="Y22" s="24" t="s">
        <v>18</v>
      </c>
    </row>
    <row r="23" spans="1:27">
      <c r="A23" s="11" t="s">
        <v>25</v>
      </c>
      <c r="B23" s="6">
        <f>AVERAGE(J23:W23)</f>
        <v>205057.39285714287</v>
      </c>
      <c r="C23" s="9">
        <f>B23/B$12</f>
        <v>6.3147847279796734E-2</v>
      </c>
      <c r="D23" s="9">
        <f>M23/$M$12</f>
        <v>5.8252259042975631E-2</v>
      </c>
      <c r="E23" s="6">
        <f>E20-E21+IF(E1+E2&gt;=1,#VALUE!,0)</f>
        <v>463141.59230832313</v>
      </c>
      <c r="H23" s="33">
        <f>H20-H21+IF(H1+H2&gt;=1,#VALUE!,0)</f>
        <v>14617</v>
      </c>
      <c r="I23" s="33">
        <f>I20-I21+IF(I1+I2&gt;=1,#VALUE!,0)</f>
        <v>920894</v>
      </c>
      <c r="J23" s="33">
        <f>J20-J21+IF(J1+J2&gt;=1,#VALUE!,0)</f>
        <v>736119</v>
      </c>
      <c r="K23" s="33">
        <f>K20-K21+IF(K1+K2&gt;=1,#VALUE!,0)</f>
        <v>701651</v>
      </c>
      <c r="L23" s="6">
        <f>IF(AA23&lt;&gt;0,AA23*3/2,CHAR(20))</f>
        <v>930604.5</v>
      </c>
      <c r="M23" s="6">
        <f t="shared" ref="M23:W23" si="7">M20-M21+IF(M1+M2&gt;=1,#VALUE!,0)</f>
        <v>211905</v>
      </c>
      <c r="N23" s="6">
        <f t="shared" si="7"/>
        <v>106188</v>
      </c>
      <c r="O23" s="20">
        <f t="shared" si="7"/>
        <v>-94534</v>
      </c>
      <c r="P23" s="6">
        <f t="shared" si="7"/>
        <v>68980</v>
      </c>
      <c r="Q23" s="6">
        <f t="shared" si="7"/>
        <v>144</v>
      </c>
      <c r="R23" s="6">
        <f t="shared" si="7"/>
        <v>-6003</v>
      </c>
      <c r="S23" s="6">
        <f t="shared" si="7"/>
        <v>79345</v>
      </c>
      <c r="T23" s="6">
        <f t="shared" si="7"/>
        <v>-38253</v>
      </c>
      <c r="U23" s="6">
        <f t="shared" si="7"/>
        <v>95429</v>
      </c>
      <c r="V23" s="6">
        <f t="shared" si="7"/>
        <v>35103</v>
      </c>
      <c r="W23" s="6">
        <f t="shared" si="7"/>
        <v>44125</v>
      </c>
      <c r="X23" s="2"/>
      <c r="Y23" s="2">
        <f>Y20-Y21+IF(Y1+Y2&gt;=1,#VALUE!,0)</f>
        <v>265534.51292343857</v>
      </c>
      <c r="Z23" s="6">
        <f>Z20-Z21+IF(Z1+Z2&gt;=1,#VALUE!,0)</f>
        <v>620403</v>
      </c>
      <c r="AA23" s="6">
        <f>AA20-AA21+IF(AA1+AA2&gt;=1,#VALUE!,0)</f>
        <v>620403</v>
      </c>
    </row>
    <row r="24" spans="1:27">
      <c r="A24" s="11" t="s">
        <v>26</v>
      </c>
      <c r="B24" s="6">
        <f>AVERAGE(J24:W24)</f>
        <v>517150.14761904761</v>
      </c>
      <c r="C24" s="9">
        <f>B24/B$12</f>
        <v>0.1592574551326858</v>
      </c>
      <c r="D24" s="9">
        <f>M24/$M$12</f>
        <v>0.10664502669671852</v>
      </c>
      <c r="E24" s="6">
        <f>AA70</f>
        <v>1195252</v>
      </c>
      <c r="H24" s="33">
        <f>I70</f>
        <v>3645730</v>
      </c>
      <c r="I24" s="33">
        <f>J70</f>
        <v>3080514</v>
      </c>
      <c r="J24" s="33">
        <f>K70</f>
        <v>2393165</v>
      </c>
      <c r="K24" s="33">
        <f>AA70</f>
        <v>1195252</v>
      </c>
      <c r="L24" s="6">
        <f>IF(AA24&lt;&gt;0,AA24*3/2,CHAR(20))</f>
        <v>900223.5</v>
      </c>
      <c r="M24" s="6">
        <f t="shared" ref="M24:W24" si="8">N70</f>
        <v>387944</v>
      </c>
      <c r="N24" s="6">
        <f t="shared" si="8"/>
        <v>281756</v>
      </c>
      <c r="O24" s="20">
        <f t="shared" si="8"/>
        <v>376290</v>
      </c>
      <c r="P24" s="6">
        <f t="shared" si="8"/>
        <v>292060</v>
      </c>
      <c r="Q24" s="6">
        <f t="shared" si="8"/>
        <v>290666</v>
      </c>
      <c r="R24" s="6">
        <f t="shared" si="8"/>
        <v>310401</v>
      </c>
      <c r="S24" s="6">
        <f t="shared" si="8"/>
        <v>221156</v>
      </c>
      <c r="T24" s="6">
        <f t="shared" si="8"/>
        <v>281304.93333333335</v>
      </c>
      <c r="U24" s="6">
        <f t="shared" si="8"/>
        <v>185525.56666666665</v>
      </c>
      <c r="V24" s="6">
        <f t="shared" si="8"/>
        <v>124358.06666666665</v>
      </c>
      <c r="W24" s="6">
        <f t="shared" si="8"/>
        <v>0</v>
      </c>
      <c r="X24" s="2"/>
      <c r="Y24" s="2">
        <f>M70</f>
        <v>600149</v>
      </c>
      <c r="Z24" s="6" t="e">
        <f>#REF!</f>
        <v>#REF!</v>
      </c>
      <c r="AA24" s="6">
        <f>M70</f>
        <v>600149</v>
      </c>
    </row>
    <row r="25" spans="1:27">
      <c r="A25" s="24" t="s">
        <v>18</v>
      </c>
      <c r="C25" s="24" t="s">
        <v>18</v>
      </c>
      <c r="D25" s="24" t="s">
        <v>18</v>
      </c>
      <c r="E25" s="26" t="s">
        <v>18</v>
      </c>
      <c r="F25" s="25"/>
      <c r="G25" s="25"/>
      <c r="H25" s="33"/>
      <c r="I25" s="33"/>
      <c r="O25" s="20" t="s">
        <v>18</v>
      </c>
      <c r="P25" s="26" t="s">
        <v>18</v>
      </c>
      <c r="Q25" s="26" t="s">
        <v>18</v>
      </c>
      <c r="R25" s="26" t="s">
        <v>18</v>
      </c>
      <c r="S25" s="26" t="s">
        <v>18</v>
      </c>
      <c r="T25" s="26" t="s">
        <v>18</v>
      </c>
      <c r="U25" s="26" t="s">
        <v>18</v>
      </c>
      <c r="V25" s="26" t="s">
        <v>18</v>
      </c>
      <c r="W25" s="26" t="s">
        <v>18</v>
      </c>
      <c r="X25" s="2"/>
      <c r="Y25" s="24" t="s">
        <v>18</v>
      </c>
    </row>
    <row r="26" spans="1:27">
      <c r="A26" s="2" t="s">
        <v>27</v>
      </c>
      <c r="C26" s="9"/>
      <c r="D26" s="9"/>
      <c r="H26" s="33"/>
      <c r="I26" s="33"/>
      <c r="J26" s="33">
        <v>-87230</v>
      </c>
      <c r="K26" s="33">
        <v>335262</v>
      </c>
      <c r="L26" s="6">
        <f>IF(AA26&lt;&gt;0,AA26*3/2,CHAR(20))</f>
        <v>-450</v>
      </c>
      <c r="X26" s="2"/>
      <c r="Y26" s="2"/>
      <c r="Z26" s="6">
        <v>-300</v>
      </c>
      <c r="AA26" s="6">
        <v>-300</v>
      </c>
    </row>
    <row r="27" spans="1:27">
      <c r="A27" s="11" t="s">
        <v>28</v>
      </c>
      <c r="B27" s="6">
        <f>AVERAGE(J27:W27)</f>
        <v>739891.96904761903</v>
      </c>
      <c r="C27" s="9">
        <f>B27/B$12</f>
        <v>0.22785125868403738</v>
      </c>
      <c r="D27" s="9">
        <f>M27/$M$12</f>
        <v>0.16489728573969414</v>
      </c>
      <c r="E27" s="6">
        <f>E23+E24</f>
        <v>1658393.5923083231</v>
      </c>
      <c r="F27" s="44"/>
      <c r="G27" s="44"/>
      <c r="H27" s="44">
        <f>H23+H24+H26</f>
        <v>3660347</v>
      </c>
      <c r="I27" s="44">
        <f>I23+I24+I26</f>
        <v>4001408</v>
      </c>
      <c r="J27" s="44">
        <f>J23+J24+J26</f>
        <v>3042054</v>
      </c>
      <c r="K27" s="44">
        <f>K23+K24+K26</f>
        <v>2232165</v>
      </c>
      <c r="L27" s="45">
        <f>IF(AA27&lt;&gt;0,AA27*3/2,CHAR(20))</f>
        <v>1830378</v>
      </c>
      <c r="M27" s="45">
        <f t="shared" ref="M27:W27" si="9">M23+M24</f>
        <v>599849</v>
      </c>
      <c r="N27" s="45">
        <f t="shared" si="9"/>
        <v>387944</v>
      </c>
      <c r="O27" s="47">
        <f t="shared" si="9"/>
        <v>281756</v>
      </c>
      <c r="P27" s="45">
        <f t="shared" si="9"/>
        <v>361040</v>
      </c>
      <c r="Q27" s="45">
        <f t="shared" si="9"/>
        <v>290810</v>
      </c>
      <c r="R27" s="45">
        <f t="shared" si="9"/>
        <v>304398</v>
      </c>
      <c r="S27" s="45">
        <f t="shared" si="9"/>
        <v>300501</v>
      </c>
      <c r="T27" s="45">
        <f t="shared" si="9"/>
        <v>243051.93333333335</v>
      </c>
      <c r="U27" s="45">
        <f t="shared" si="9"/>
        <v>280954.56666666665</v>
      </c>
      <c r="V27" s="45">
        <f t="shared" si="9"/>
        <v>159461.06666666665</v>
      </c>
      <c r="W27" s="45">
        <f t="shared" si="9"/>
        <v>44125</v>
      </c>
      <c r="X27" s="2"/>
      <c r="Y27" s="2">
        <f>Y23+Y24</f>
        <v>865683.51292343857</v>
      </c>
      <c r="Z27" s="6" t="e">
        <f>Z23+Z24+Z26</f>
        <v>#REF!</v>
      </c>
      <c r="AA27" s="6">
        <f>AA23+AA24+AA26</f>
        <v>1220252</v>
      </c>
    </row>
    <row r="28" spans="1:27">
      <c r="A28" s="2"/>
      <c r="C28" s="9"/>
      <c r="D28" s="9"/>
      <c r="I28" s="33"/>
      <c r="X28" s="2"/>
      <c r="Y28" s="2"/>
    </row>
    <row r="29" spans="1:27">
      <c r="A29" s="15" t="s">
        <v>29</v>
      </c>
      <c r="C29" s="9"/>
      <c r="D29" s="9"/>
      <c r="E29"/>
      <c r="F29" s="31"/>
      <c r="G29" s="31"/>
      <c r="I29" s="33"/>
      <c r="X29" s="2"/>
      <c r="Y29" s="2"/>
    </row>
    <row r="30" spans="1:27">
      <c r="A30" s="2"/>
      <c r="C30" s="9"/>
      <c r="D30" s="9"/>
      <c r="I30" s="33"/>
      <c r="X30" s="2"/>
      <c r="Y30" s="2"/>
    </row>
    <row r="31" spans="1:27">
      <c r="A31" s="2"/>
      <c r="C31" s="9"/>
      <c r="D31" s="9"/>
      <c r="I31" s="33"/>
      <c r="O31" s="20" t="s">
        <v>30</v>
      </c>
      <c r="X31" s="2"/>
      <c r="Y31" s="2"/>
    </row>
    <row r="32" spans="1:27">
      <c r="A32" s="2"/>
      <c r="C32" s="9"/>
      <c r="D32" s="9"/>
      <c r="I32" s="33"/>
      <c r="X32" s="2"/>
      <c r="Y32" s="2"/>
    </row>
    <row r="33" spans="1:27">
      <c r="B33" s="10" t="s">
        <v>31</v>
      </c>
      <c r="C33" s="10" t="s">
        <v>32</v>
      </c>
      <c r="E33">
        <v>1989</v>
      </c>
      <c r="F33" s="30"/>
      <c r="G33" s="30"/>
      <c r="I33" s="42">
        <f t="shared" ref="I33:K34" si="10">I10</f>
        <v>1991</v>
      </c>
      <c r="J33" s="42">
        <f t="shared" si="10"/>
        <v>1990</v>
      </c>
      <c r="K33" s="42">
        <f t="shared" si="10"/>
        <v>1989</v>
      </c>
      <c r="L33" s="18" t="s">
        <v>11</v>
      </c>
      <c r="M33">
        <v>1988</v>
      </c>
      <c r="N33">
        <v>1987</v>
      </c>
      <c r="O33" s="18">
        <v>1986</v>
      </c>
      <c r="P33">
        <v>1985</v>
      </c>
      <c r="Q33">
        <v>1984</v>
      </c>
      <c r="R33">
        <v>1983</v>
      </c>
      <c r="S33">
        <v>1982</v>
      </c>
      <c r="T33">
        <v>1981</v>
      </c>
      <c r="U33">
        <v>1980</v>
      </c>
      <c r="V33">
        <v>1979</v>
      </c>
      <c r="W33">
        <v>1978</v>
      </c>
      <c r="Y33" s="18" t="s">
        <v>33</v>
      </c>
      <c r="Z33" s="18" t="s">
        <v>11</v>
      </c>
      <c r="AA33" s="18" t="s">
        <v>11</v>
      </c>
    </row>
    <row r="34" spans="1:27" s="18" customFormat="1">
      <c r="A34" s="19" t="s">
        <v>34</v>
      </c>
      <c r="B34" s="20"/>
      <c r="C34" s="34"/>
      <c r="D34" s="34"/>
      <c r="E34" s="20" t="s">
        <v>35</v>
      </c>
      <c r="F34" s="20"/>
      <c r="G34" s="20"/>
      <c r="H34"/>
      <c r="I34" s="40" t="str">
        <f t="shared" si="10"/>
        <v>Actual</v>
      </c>
      <c r="J34" s="40" t="str">
        <f t="shared" si="10"/>
        <v>Actual</v>
      </c>
      <c r="K34" s="40" t="str">
        <f t="shared" si="10"/>
        <v>Actual</v>
      </c>
      <c r="L34" s="20" t="s">
        <v>15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9"/>
      <c r="Y34" s="19" t="s">
        <v>35</v>
      </c>
      <c r="Z34" s="20" t="s">
        <v>14</v>
      </c>
      <c r="AA34" s="20" t="s">
        <v>14</v>
      </c>
    </row>
    <row r="35" spans="1:27">
      <c r="A35" s="11" t="s">
        <v>36</v>
      </c>
      <c r="B35" s="6">
        <f>AVERAGE(J35:W35)</f>
        <v>36865.892857142855</v>
      </c>
      <c r="C35" s="9">
        <f>B35/B$12</f>
        <v>1.1352927780555824E-2</v>
      </c>
      <c r="D35" s="9">
        <f>M35/$M$12</f>
        <v>6.5536780939013051E-2</v>
      </c>
      <c r="E35" s="6">
        <f>E$12*$C35</f>
        <v>85146.958354168673</v>
      </c>
      <c r="F35" s="6"/>
      <c r="G35" s="6"/>
      <c r="I35" s="33">
        <v>103414</v>
      </c>
      <c r="J35" s="33">
        <v>158870</v>
      </c>
      <c r="K35" s="33">
        <v>1037</v>
      </c>
      <c r="L35" s="6">
        <f>IF(AA35&lt;&gt;0,AA35*3/2,CHAR(20))</f>
        <v>1717.5</v>
      </c>
      <c r="M35" s="6">
        <v>238404</v>
      </c>
      <c r="N35" s="6">
        <v>21918</v>
      </c>
      <c r="O35" s="20">
        <v>0</v>
      </c>
      <c r="P35" s="6">
        <v>3664</v>
      </c>
      <c r="Q35" s="6">
        <v>14932</v>
      </c>
      <c r="R35" s="6">
        <v>11149</v>
      </c>
      <c r="S35" s="6">
        <v>3330</v>
      </c>
      <c r="T35" s="6">
        <v>11172</v>
      </c>
      <c r="U35" s="6">
        <v>13511</v>
      </c>
      <c r="V35" s="6">
        <f>7189+17892</f>
        <v>25081</v>
      </c>
      <c r="W35" s="6">
        <v>11337</v>
      </c>
      <c r="X35" s="2"/>
      <c r="Y35" s="2">
        <f>Y$12*$C35</f>
        <v>48817.589456390044</v>
      </c>
      <c r="Z35" s="6">
        <v>1145</v>
      </c>
      <c r="AA35" s="6">
        <v>1145</v>
      </c>
    </row>
    <row r="36" spans="1:27">
      <c r="A36" s="11" t="s">
        <v>37</v>
      </c>
      <c r="B36" s="6">
        <f>AVERAGE(J36:W36)</f>
        <v>819613.42857142852</v>
      </c>
      <c r="C36" s="9">
        <f>B36/B$12</f>
        <v>0.25240164665487841</v>
      </c>
      <c r="D36" s="9">
        <f>M36/$M$12</f>
        <v>0.23403358098893454</v>
      </c>
      <c r="E36" s="6">
        <f>E$12*$C36</f>
        <v>1893012.349911588</v>
      </c>
      <c r="F36" s="6"/>
      <c r="G36" s="6"/>
      <c r="I36" s="33">
        <v>3910703</v>
      </c>
      <c r="J36" s="33">
        <v>2512836</v>
      </c>
      <c r="K36" s="33">
        <v>2507809</v>
      </c>
      <c r="L36" s="6">
        <f>IF(AA36&lt;&gt;0,AA36*3/2,CHAR(20))</f>
        <v>2314344</v>
      </c>
      <c r="M36" s="6">
        <v>851347</v>
      </c>
      <c r="N36" s="6">
        <v>672385</v>
      </c>
      <c r="O36" s="20">
        <v>437040</v>
      </c>
      <c r="P36" s="6">
        <v>597595</v>
      </c>
      <c r="Q36" s="6">
        <v>453613</v>
      </c>
      <c r="R36" s="6">
        <v>291614</v>
      </c>
      <c r="S36" s="6">
        <f>236191-5000</f>
        <v>231191</v>
      </c>
      <c r="T36" s="6">
        <f>104584-7500</f>
        <v>97084</v>
      </c>
      <c r="U36" s="6">
        <f>239485-7500</f>
        <v>231985</v>
      </c>
      <c r="V36" s="6">
        <f>162710-7500</f>
        <v>155210</v>
      </c>
      <c r="W36" s="6">
        <v>120535</v>
      </c>
      <c r="X36" s="2"/>
      <c r="Y36" s="2">
        <f>Y$12*$C36</f>
        <v>1085327.0806159771</v>
      </c>
      <c r="Z36" s="6">
        <v>1542896</v>
      </c>
      <c r="AA36" s="6">
        <v>1542896</v>
      </c>
    </row>
    <row r="37" spans="1:27">
      <c r="A37" s="11" t="s">
        <v>38</v>
      </c>
      <c r="B37" s="6">
        <f>AVERAGE(J37:W37)</f>
        <v>29060.071428571428</v>
      </c>
      <c r="C37" s="9">
        <f>B37/B$12</f>
        <v>8.9491089638004777E-3</v>
      </c>
      <c r="D37" s="9">
        <f>M37/$M$12</f>
        <v>1.3164864847776611E-3</v>
      </c>
      <c r="E37" s="6">
        <f>E$12*$C37</f>
        <v>67118.317228503583</v>
      </c>
      <c r="F37" s="6"/>
      <c r="G37" s="6"/>
      <c r="I37" s="33">
        <v>36383</v>
      </c>
      <c r="J37" s="33">
        <v>22629</v>
      </c>
      <c r="K37" s="33">
        <v>2527</v>
      </c>
      <c r="L37" s="6">
        <f>IF(AA37&lt;&gt;0,AA37*3/2,CHAR(20))</f>
        <v>135993</v>
      </c>
      <c r="M37" s="6">
        <v>4789</v>
      </c>
      <c r="N37" s="6">
        <v>2088</v>
      </c>
      <c r="O37" s="20">
        <f>2384+21747</f>
        <v>24131</v>
      </c>
      <c r="P37" s="6">
        <f>3425+15481</f>
        <v>18906</v>
      </c>
      <c r="Q37" s="6">
        <f>7188+791+13067</f>
        <v>21046</v>
      </c>
      <c r="R37" s="6">
        <f>10718+3209+21376</f>
        <v>35303</v>
      </c>
      <c r="S37" s="6">
        <f>3770+2718+20297</f>
        <v>26785</v>
      </c>
      <c r="T37" s="6">
        <f>4199+19321+1232</f>
        <v>24752</v>
      </c>
      <c r="U37" s="6">
        <f>9219+21064+2500+2649</f>
        <v>35432</v>
      </c>
      <c r="V37" s="6">
        <f>17063+7500+1574</f>
        <v>26137</v>
      </c>
      <c r="W37" s="6">
        <f>21990+3983+350</f>
        <v>26323</v>
      </c>
      <c r="X37" s="2"/>
      <c r="Y37" s="2">
        <f>Y$12*$C37</f>
        <v>38481.168544342057</v>
      </c>
      <c r="Z37" s="6">
        <f>10662+80000</f>
        <v>90662</v>
      </c>
      <c r="AA37" s="6">
        <f>10662+80000</f>
        <v>90662</v>
      </c>
    </row>
    <row r="38" spans="1:27">
      <c r="A38" s="11" t="s">
        <v>39</v>
      </c>
      <c r="B38" s="6">
        <f>AVERAGE(J38:W38)</f>
        <v>11042.464285714286</v>
      </c>
      <c r="C38" s="9">
        <f>B38/B$12</f>
        <v>3.400549663638259E-3</v>
      </c>
      <c r="D38" s="9">
        <f>M38/$M$12</f>
        <v>2.3759433468225778E-3</v>
      </c>
      <c r="E38" s="6">
        <f>E$12*$C38</f>
        <v>25504.122477286943</v>
      </c>
      <c r="F38" s="6"/>
      <c r="G38" s="6"/>
      <c r="I38" s="33">
        <v>24090</v>
      </c>
      <c r="J38" s="33">
        <v>40657</v>
      </c>
      <c r="K38" s="33">
        <v>19544</v>
      </c>
      <c r="L38" s="6">
        <f>IF(AA38&lt;&gt;0,AA38*3/2,CHAR(20))</f>
        <v>19903.5</v>
      </c>
      <c r="M38" s="6">
        <v>8643</v>
      </c>
      <c r="N38" s="6">
        <v>4726</v>
      </c>
      <c r="O38" s="20">
        <v>7103</v>
      </c>
      <c r="P38" s="6">
        <v>11037</v>
      </c>
      <c r="Q38" s="6">
        <v>10062</v>
      </c>
      <c r="R38" s="6">
        <v>6341</v>
      </c>
      <c r="S38" s="6">
        <f>1594+5638</f>
        <v>7232</v>
      </c>
      <c r="T38" s="6">
        <v>6207</v>
      </c>
      <c r="U38" s="6">
        <v>4708</v>
      </c>
      <c r="V38" s="6">
        <v>7162</v>
      </c>
      <c r="W38" s="6">
        <v>1269</v>
      </c>
      <c r="X38" s="2"/>
      <c r="Y38" s="2">
        <f>Y$12*$C38</f>
        <v>14622.363553644514</v>
      </c>
      <c r="Z38" s="6">
        <v>13269</v>
      </c>
      <c r="AA38" s="6">
        <v>13269</v>
      </c>
    </row>
    <row r="39" spans="1:27">
      <c r="A39" s="11" t="s">
        <v>40</v>
      </c>
      <c r="C39" s="9"/>
      <c r="D39" s="9"/>
      <c r="F39" s="6"/>
      <c r="G39" s="6"/>
      <c r="I39" s="33"/>
      <c r="J39" s="33">
        <v>136000</v>
      </c>
      <c r="K39" s="33">
        <v>136000</v>
      </c>
      <c r="X39" s="2"/>
      <c r="Y39" s="2"/>
    </row>
    <row r="40" spans="1:27">
      <c r="A40" s="11" t="s">
        <v>41</v>
      </c>
      <c r="C40" s="9"/>
      <c r="D40" s="9"/>
      <c r="F40" s="6"/>
      <c r="G40" s="6"/>
      <c r="I40" s="33">
        <v>96994</v>
      </c>
      <c r="J40" s="33">
        <v>74847</v>
      </c>
      <c r="X40" s="2"/>
      <c r="Y40" s="2"/>
    </row>
    <row r="41" spans="1:27">
      <c r="A41" s="11" t="s">
        <v>42</v>
      </c>
      <c r="B41" s="6">
        <f>AVERAGE(J41:W41)</f>
        <v>921356.64285714284</v>
      </c>
      <c r="C41" s="9">
        <f>B41/B$12</f>
        <v>0.28373367944798977</v>
      </c>
      <c r="D41" s="9">
        <f>M41/$M$12</f>
        <v>0.30326279175954785</v>
      </c>
      <c r="E41" s="6">
        <f>SUM(E35:E38)</f>
        <v>2070781.7479715471</v>
      </c>
      <c r="F41" s="6"/>
      <c r="G41" s="6"/>
      <c r="I41" s="33">
        <f>SUM(I35:I40)</f>
        <v>4171584</v>
      </c>
      <c r="J41" s="33">
        <f>SUM(J35:J40)</f>
        <v>2945839</v>
      </c>
      <c r="K41" s="33">
        <f>SUM(K35:K40)</f>
        <v>2666917</v>
      </c>
      <c r="L41" s="33">
        <f>SUM(L35:L40)</f>
        <v>2471958</v>
      </c>
      <c r="M41" s="6">
        <f>SUM(M35:M38)</f>
        <v>1103183</v>
      </c>
      <c r="N41" s="6">
        <f>SUM(N35:N38)</f>
        <v>701117</v>
      </c>
      <c r="O41" s="20">
        <v>468274</v>
      </c>
      <c r="P41" s="6">
        <v>631202</v>
      </c>
      <c r="Q41" s="6">
        <v>499653</v>
      </c>
      <c r="R41" s="6">
        <f>SUM(R35:R38)</f>
        <v>344407</v>
      </c>
      <c r="S41" s="6">
        <v>268538</v>
      </c>
      <c r="T41" s="6">
        <v>139215</v>
      </c>
      <c r="U41" s="6">
        <v>285636</v>
      </c>
      <c r="V41" s="6">
        <v>213590</v>
      </c>
      <c r="W41" s="6">
        <v>159464</v>
      </c>
      <c r="X41" s="2"/>
      <c r="Y41" s="2">
        <f>SUM(Y35:Y38)</f>
        <v>1187248.2021703538</v>
      </c>
      <c r="Z41" s="6">
        <f>SUM(Z35:Z38)</f>
        <v>1647972</v>
      </c>
      <c r="AA41" s="6">
        <f>SUM(AA35:AA38)</f>
        <v>1647972</v>
      </c>
    </row>
    <row r="42" spans="1:27">
      <c r="A42" s="2"/>
      <c r="C42" s="9"/>
      <c r="D42" s="9"/>
      <c r="F42" s="6"/>
      <c r="G42" s="6"/>
      <c r="I42" s="33"/>
      <c r="X42" s="2"/>
      <c r="Y42" s="2"/>
    </row>
    <row r="43" spans="1:27">
      <c r="A43" s="11" t="s">
        <v>43</v>
      </c>
      <c r="B43" s="6">
        <f t="shared" ref="B43:B50" si="11">AVERAGE(J43:W43)</f>
        <v>887494.60714285716</v>
      </c>
      <c r="C43" s="9">
        <f t="shared" ref="C43:C49" si="12">B43/B$12</f>
        <v>0.27330579567323393</v>
      </c>
      <c r="D43" s="9">
        <f t="shared" ref="D43:D50" si="13">M43/$M$12</f>
        <v>0.24978853471947898</v>
      </c>
      <c r="E43" s="6">
        <f>E$12*$D43</f>
        <v>1873414.0103960924</v>
      </c>
      <c r="F43" s="6"/>
      <c r="G43" s="6"/>
      <c r="I43" s="33">
        <f>3576120+1581971</f>
        <v>5158091</v>
      </c>
      <c r="J43" s="33">
        <f>1255044+2612902</f>
        <v>3867946</v>
      </c>
      <c r="K43" s="33">
        <f>1020359+1868136</f>
        <v>2888495</v>
      </c>
      <c r="L43" s="6">
        <f>IF(AA43&lt;&gt;0,AA43*3/2,CHAR(20))</f>
        <v>2203669.5</v>
      </c>
      <c r="M43" s="6">
        <f>553391+355268</f>
        <v>908659</v>
      </c>
      <c r="N43" s="6">
        <v>555647</v>
      </c>
      <c r="O43" s="20">
        <v>446467</v>
      </c>
      <c r="P43" s="6">
        <v>346780</v>
      </c>
      <c r="Q43" s="6">
        <v>283892</v>
      </c>
      <c r="R43" s="6">
        <v>231533</v>
      </c>
      <c r="S43" s="6">
        <v>224168</v>
      </c>
      <c r="T43" s="6">
        <v>158655</v>
      </c>
      <c r="U43" s="6">
        <v>139128</v>
      </c>
      <c r="V43" s="6">
        <v>95028</v>
      </c>
      <c r="W43" s="6">
        <v>74857</v>
      </c>
      <c r="X43" s="2"/>
      <c r="Y43" s="2">
        <f>((M43-N43)/N43*0.75+1)*M43</f>
        <v>1341623.9007031443</v>
      </c>
      <c r="Z43" s="6">
        <f>732823+736290</f>
        <v>1469113</v>
      </c>
      <c r="AA43" s="6">
        <f>732823+736290</f>
        <v>1469113</v>
      </c>
    </row>
    <row r="44" spans="1:27">
      <c r="A44" s="11" t="s">
        <v>44</v>
      </c>
      <c r="B44" s="6">
        <f t="shared" si="11"/>
        <v>204284.64285714287</v>
      </c>
      <c r="C44" s="9">
        <f t="shared" si="12"/>
        <v>6.2909877322676208E-2</v>
      </c>
      <c r="D44" s="9">
        <f t="shared" si="13"/>
        <v>7.9677533659197414E-2</v>
      </c>
      <c r="E44" s="6">
        <f>E$12*$C44</f>
        <v>471824.07992007158</v>
      </c>
      <c r="F44" s="6"/>
      <c r="G44" s="6"/>
      <c r="I44" s="33">
        <v>587164</v>
      </c>
      <c r="J44" s="33">
        <v>534368</v>
      </c>
      <c r="K44" s="33">
        <v>359782</v>
      </c>
      <c r="L44" s="6">
        <f>IF(AA44&lt;&gt;0,AA44*3/2,CHAR(20))</f>
        <v>456174</v>
      </c>
      <c r="M44" s="6">
        <v>289844</v>
      </c>
      <c r="N44" s="6">
        <v>222038</v>
      </c>
      <c r="O44" s="20">
        <v>197155</v>
      </c>
      <c r="P44" s="6">
        <v>158931</v>
      </c>
      <c r="Q44" s="6">
        <v>140007</v>
      </c>
      <c r="R44" s="6">
        <v>126235</v>
      </c>
      <c r="S44" s="6">
        <v>109188</v>
      </c>
      <c r="T44" s="6">
        <v>84578</v>
      </c>
      <c r="U44" s="6">
        <v>63325</v>
      </c>
      <c r="V44" s="6">
        <v>60177</v>
      </c>
      <c r="W44" s="6">
        <v>58183</v>
      </c>
      <c r="X44" s="2"/>
      <c r="Y44" s="2">
        <f>Y$12*$C44</f>
        <v>270512.47248750768</v>
      </c>
      <c r="Z44" s="6">
        <v>304116</v>
      </c>
      <c r="AA44" s="6">
        <v>304116</v>
      </c>
    </row>
    <row r="45" spans="1:27">
      <c r="A45" s="11" t="s">
        <v>45</v>
      </c>
      <c r="B45" s="6">
        <f t="shared" si="11"/>
        <v>75521.571428571435</v>
      </c>
      <c r="C45" s="9">
        <f t="shared" si="12"/>
        <v>2.3257023765166668E-2</v>
      </c>
      <c r="D45" s="9">
        <f t="shared" si="13"/>
        <v>2.2867939279431884E-2</v>
      </c>
      <c r="E45" s="6">
        <f>E$12*$C45</f>
        <v>174427.67823875</v>
      </c>
      <c r="F45" s="6"/>
      <c r="G45" s="6"/>
      <c r="I45" s="33">
        <v>208833</v>
      </c>
      <c r="J45" s="33">
        <v>196235</v>
      </c>
      <c r="K45" s="33">
        <v>137567</v>
      </c>
      <c r="L45" s="6">
        <f>IF(AA45&lt;&gt;0,AA45*3/2,CHAR(20))</f>
        <v>149541</v>
      </c>
      <c r="M45" s="6">
        <v>83187</v>
      </c>
      <c r="N45" s="6">
        <v>73519</v>
      </c>
      <c r="O45" s="20">
        <v>66954</v>
      </c>
      <c r="P45" s="6">
        <v>50852</v>
      </c>
      <c r="Q45" s="6">
        <v>51146</v>
      </c>
      <c r="R45" s="6">
        <v>60979</v>
      </c>
      <c r="S45" s="6">
        <v>55469</v>
      </c>
      <c r="T45" s="6">
        <v>45636</v>
      </c>
      <c r="U45" s="6">
        <v>37794</v>
      </c>
      <c r="V45" s="6">
        <v>29883</v>
      </c>
      <c r="W45" s="6">
        <v>18540</v>
      </c>
      <c r="X45" s="2"/>
      <c r="Y45" s="2">
        <f>Y$12*$C45</f>
        <v>100005.20219021667</v>
      </c>
      <c r="Z45" s="6">
        <v>99694</v>
      </c>
      <c r="AA45" s="6">
        <v>99694</v>
      </c>
    </row>
    <row r="46" spans="1:27">
      <c r="A46" s="11" t="s">
        <v>46</v>
      </c>
      <c r="B46" s="6">
        <f t="shared" si="11"/>
        <v>33825.035714285717</v>
      </c>
      <c r="C46" s="9">
        <f t="shared" si="12"/>
        <v>1.0416489548403917E-2</v>
      </c>
      <c r="D46" s="9">
        <f t="shared" si="13"/>
        <v>1.6265714200103195E-2</v>
      </c>
      <c r="E46" s="6">
        <f>E$12*$C46</f>
        <v>78123.671613029379</v>
      </c>
      <c r="F46" s="6"/>
      <c r="G46" s="6"/>
      <c r="I46" s="33">
        <v>78483</v>
      </c>
      <c r="J46" s="33">
        <v>72551</v>
      </c>
      <c r="K46" s="33">
        <v>68451</v>
      </c>
      <c r="L46" s="6">
        <f>IF(AA46&lt;&gt;0,AA46*3/2,CHAR(20))</f>
        <v>95551.5</v>
      </c>
      <c r="M46" s="6">
        <v>59170</v>
      </c>
      <c r="N46" s="6">
        <v>49750</v>
      </c>
      <c r="O46" s="20">
        <v>48723</v>
      </c>
      <c r="P46" s="6">
        <v>24535</v>
      </c>
      <c r="Q46" s="6">
        <v>20090</v>
      </c>
      <c r="R46" s="6">
        <v>9660</v>
      </c>
      <c r="S46" s="6">
        <v>6467</v>
      </c>
      <c r="T46" s="6">
        <v>5633</v>
      </c>
      <c r="U46" s="6">
        <v>4323</v>
      </c>
      <c r="V46" s="6">
        <v>4323</v>
      </c>
      <c r="W46" s="6">
        <v>4323</v>
      </c>
      <c r="X46" s="2"/>
      <c r="Y46" s="2">
        <f>Y$12*$C46</f>
        <v>44790.905058136843</v>
      </c>
      <c r="Z46" s="6">
        <v>63701</v>
      </c>
      <c r="AA46" s="6">
        <v>63701</v>
      </c>
    </row>
    <row r="47" spans="1:27">
      <c r="A47" s="11" t="s">
        <v>47</v>
      </c>
      <c r="B47" s="6">
        <f t="shared" si="11"/>
        <v>403791.09090909088</v>
      </c>
      <c r="C47" s="9">
        <f t="shared" si="12"/>
        <v>0.12434829969497288</v>
      </c>
      <c r="D47" s="9">
        <f t="shared" si="13"/>
        <v>0</v>
      </c>
      <c r="E47" s="6">
        <f>E$12*$C47</f>
        <v>932612.24771229655</v>
      </c>
      <c r="F47" s="6"/>
      <c r="G47" s="6"/>
      <c r="I47" s="6">
        <v>4670049</v>
      </c>
      <c r="J47" s="6">
        <f>700000+2611073</f>
        <v>3311073</v>
      </c>
      <c r="K47" s="6">
        <v>700000</v>
      </c>
      <c r="O47" s="20">
        <v>0</v>
      </c>
      <c r="P47" s="6">
        <v>0</v>
      </c>
      <c r="Q47" s="6">
        <v>0</v>
      </c>
      <c r="R47" s="6">
        <v>191644</v>
      </c>
      <c r="S47" s="6">
        <f>48050+190935</f>
        <v>238985</v>
      </c>
      <c r="T47" s="6">
        <v>0</v>
      </c>
      <c r="U47" s="6">
        <v>0</v>
      </c>
      <c r="V47" s="6">
        <v>0</v>
      </c>
      <c r="W47" s="6">
        <v>0</v>
      </c>
      <c r="X47" s="2"/>
      <c r="Y47" s="2">
        <f>Y$12*$C47</f>
        <v>534697.68868838344</v>
      </c>
    </row>
    <row r="48" spans="1:27">
      <c r="A48" s="19" t="s">
        <v>48</v>
      </c>
      <c r="B48" s="6">
        <f t="shared" si="11"/>
        <v>1518390.2857142857</v>
      </c>
      <c r="C48" s="9">
        <f t="shared" si="12"/>
        <v>0.46759142178410223</v>
      </c>
      <c r="D48" s="9">
        <f t="shared" si="13"/>
        <v>0.36859972185821144</v>
      </c>
      <c r="E48" s="6">
        <f>SUM(E43:E47)</f>
        <v>3530401.6878802394</v>
      </c>
      <c r="F48" s="6"/>
      <c r="G48" s="6"/>
      <c r="I48" s="33">
        <f>SUM(I43:I47)</f>
        <v>10702620</v>
      </c>
      <c r="J48" s="33">
        <f>SUM(J43:J47)</f>
        <v>7982173</v>
      </c>
      <c r="K48" s="33">
        <f>SUM(K43:K47)</f>
        <v>4154295</v>
      </c>
      <c r="L48" s="6">
        <f>IF(AA48&lt;&gt;0,AA48*3/2,CHAR(20))</f>
        <v>2904936</v>
      </c>
      <c r="M48" s="6">
        <f t="shared" ref="M48:W48" si="14">SUM(M43:M47)</f>
        <v>1340860</v>
      </c>
      <c r="N48" s="6">
        <f t="shared" si="14"/>
        <v>900954</v>
      </c>
      <c r="O48" s="20">
        <f t="shared" si="14"/>
        <v>759299</v>
      </c>
      <c r="P48" s="6">
        <f t="shared" si="14"/>
        <v>581098</v>
      </c>
      <c r="Q48" s="6">
        <f t="shared" si="14"/>
        <v>495135</v>
      </c>
      <c r="R48" s="6">
        <f t="shared" si="14"/>
        <v>620051</v>
      </c>
      <c r="S48" s="6">
        <f t="shared" si="14"/>
        <v>634277</v>
      </c>
      <c r="T48" s="6">
        <f t="shared" si="14"/>
        <v>294502</v>
      </c>
      <c r="U48" s="6">
        <f t="shared" si="14"/>
        <v>244570</v>
      </c>
      <c r="V48" s="6">
        <f t="shared" si="14"/>
        <v>189411</v>
      </c>
      <c r="W48" s="6">
        <f t="shared" si="14"/>
        <v>155903</v>
      </c>
      <c r="X48" s="2"/>
      <c r="Y48" s="2">
        <f>SUM(Y43:Y47)</f>
        <v>2291630.1691273889</v>
      </c>
      <c r="Z48" s="6">
        <f>SUM(Z43:Z47)</f>
        <v>1936624</v>
      </c>
      <c r="AA48" s="6">
        <f>SUM(AA43:AA47)</f>
        <v>1936624</v>
      </c>
    </row>
    <row r="49" spans="1:27">
      <c r="A49" s="11" t="s">
        <v>4</v>
      </c>
      <c r="B49" s="6">
        <f t="shared" si="11"/>
        <v>-571038.28571428568</v>
      </c>
      <c r="C49" s="9">
        <f t="shared" si="12"/>
        <v>-0.17585241846083755</v>
      </c>
      <c r="D49" s="9">
        <f t="shared" si="13"/>
        <v>-0.17682153594854788</v>
      </c>
      <c r="E49" s="6">
        <f>E$12*$C49</f>
        <v>-1318893.1384562815</v>
      </c>
      <c r="F49" s="6"/>
      <c r="G49" s="6"/>
      <c r="I49" s="33">
        <v>-2956704</v>
      </c>
      <c r="J49" s="33">
        <v>-2021724</v>
      </c>
      <c r="K49" s="33">
        <v>-1293777</v>
      </c>
      <c r="L49" s="6">
        <f>IF(AA49&lt;&gt;0,AA49*3/2,CHAR(20))</f>
        <v>-1232373</v>
      </c>
      <c r="M49" s="6">
        <v>-643226</v>
      </c>
      <c r="N49" s="6">
        <v>-513814</v>
      </c>
      <c r="O49" s="20">
        <v>-455701</v>
      </c>
      <c r="P49" s="6">
        <v>-387623</v>
      </c>
      <c r="Q49" s="6">
        <v>-345721</v>
      </c>
      <c r="R49" s="6">
        <v>-305777</v>
      </c>
      <c r="S49" s="6">
        <v>-291127</v>
      </c>
      <c r="T49" s="6">
        <v>-179377</v>
      </c>
      <c r="U49" s="6">
        <v>-144084</v>
      </c>
      <c r="V49" s="6">
        <v>-105825</v>
      </c>
      <c r="W49" s="6">
        <v>-74387</v>
      </c>
      <c r="X49" s="2"/>
      <c r="Y49" s="2">
        <f>Y$12*$C49</f>
        <v>-756165.39938160148</v>
      </c>
      <c r="Z49" s="6">
        <v>-821582</v>
      </c>
      <c r="AA49" s="6">
        <v>-821582</v>
      </c>
    </row>
    <row r="50" spans="1:27">
      <c r="A50" s="11" t="s">
        <v>49</v>
      </c>
      <c r="B50" s="6">
        <f t="shared" si="11"/>
        <v>947352</v>
      </c>
      <c r="C50" s="9">
        <f>C48+C49</f>
        <v>0.29173900332326469</v>
      </c>
      <c r="D50" s="9">
        <f t="shared" si="13"/>
        <v>0.19177818590966358</v>
      </c>
      <c r="E50" s="6">
        <f>E48+E49</f>
        <v>2211508.5494239582</v>
      </c>
      <c r="F50" s="6"/>
      <c r="G50" s="6"/>
      <c r="I50" s="33">
        <f>I48+I49</f>
        <v>7745916</v>
      </c>
      <c r="J50" s="33">
        <f>J48+J49</f>
        <v>5960449</v>
      </c>
      <c r="K50" s="33">
        <f>K48+K49</f>
        <v>2860518</v>
      </c>
      <c r="L50" s="6">
        <f>IF(AA50&lt;&gt;0,AA50*3/2,CHAR(20))</f>
        <v>1672563</v>
      </c>
      <c r="M50" s="6">
        <f t="shared" ref="M50:W50" si="15">M48+M49</f>
        <v>697634</v>
      </c>
      <c r="N50" s="6">
        <f t="shared" si="15"/>
        <v>387140</v>
      </c>
      <c r="O50" s="20">
        <f t="shared" si="15"/>
        <v>303598</v>
      </c>
      <c r="P50" s="6">
        <f t="shared" si="15"/>
        <v>193475</v>
      </c>
      <c r="Q50" s="6">
        <f t="shared" si="15"/>
        <v>149414</v>
      </c>
      <c r="R50" s="6">
        <f t="shared" si="15"/>
        <v>314274</v>
      </c>
      <c r="S50" s="6">
        <f t="shared" si="15"/>
        <v>343150</v>
      </c>
      <c r="T50" s="6">
        <f t="shared" si="15"/>
        <v>115125</v>
      </c>
      <c r="U50" s="6">
        <f t="shared" si="15"/>
        <v>100486</v>
      </c>
      <c r="V50" s="6">
        <f t="shared" si="15"/>
        <v>83586</v>
      </c>
      <c r="W50" s="6">
        <f t="shared" si="15"/>
        <v>81516</v>
      </c>
      <c r="X50" s="2"/>
      <c r="Y50" s="2">
        <f>Y48+Y49</f>
        <v>1535464.7697457874</v>
      </c>
      <c r="Z50" s="6">
        <f>Z48+Z49</f>
        <v>1115042</v>
      </c>
      <c r="AA50" s="6">
        <f>AA48+AA49</f>
        <v>1115042</v>
      </c>
    </row>
    <row r="51" spans="1:27">
      <c r="A51" s="2"/>
      <c r="C51" s="9"/>
      <c r="D51" s="9"/>
      <c r="F51" s="6"/>
      <c r="G51" s="6"/>
      <c r="I51" s="33"/>
      <c r="X51" s="2"/>
      <c r="Y51" s="2"/>
    </row>
    <row r="52" spans="1:27">
      <c r="A52" s="11" t="s">
        <v>50</v>
      </c>
      <c r="B52" s="6">
        <f>AVERAGE(J52:W52)</f>
        <v>74031.892857142855</v>
      </c>
      <c r="C52" s="9">
        <f>B52/B$12</f>
        <v>2.2798274175045364E-2</v>
      </c>
      <c r="D52" s="9">
        <f>M52/$M$12</f>
        <v>4.4541721680627358E-3</v>
      </c>
      <c r="E52" s="6">
        <f>E$12*$C52</f>
        <v>170987.05631284023</v>
      </c>
      <c r="F52" s="6"/>
      <c r="G52" s="6"/>
      <c r="I52" s="33">
        <v>116866</v>
      </c>
      <c r="J52" s="33">
        <v>114365</v>
      </c>
      <c r="K52" s="33">
        <v>23210</v>
      </c>
      <c r="L52" s="6">
        <f>IF(AA52&lt;&gt;0,AA52*3/2,CHAR(20))</f>
        <v>38641.5</v>
      </c>
      <c r="M52" s="6">
        <v>16203</v>
      </c>
      <c r="N52" s="6">
        <v>8163</v>
      </c>
      <c r="O52" s="20">
        <f>11852+3811</f>
        <v>15663</v>
      </c>
      <c r="P52" s="6">
        <f>26327+55202+2440</f>
        <v>83969</v>
      </c>
      <c r="Q52" s="6">
        <f>40326+55202+3755</f>
        <v>99283</v>
      </c>
      <c r="R52" s="6">
        <f>52893+55202+1840</f>
        <v>109935</v>
      </c>
      <c r="S52" s="6">
        <v>122270</v>
      </c>
      <c r="T52" s="6">
        <v>206558</v>
      </c>
      <c r="U52" s="6">
        <f>55202+52120+4821+1283</f>
        <v>113426</v>
      </c>
      <c r="V52" s="6">
        <f>38310+8345+925</f>
        <v>47580</v>
      </c>
      <c r="W52" s="6">
        <v>37180</v>
      </c>
      <c r="X52" s="2"/>
      <c r="Y52" s="2">
        <f>Y$12*$C52</f>
        <v>98032.578952695068</v>
      </c>
      <c r="Z52" s="6">
        <v>25761</v>
      </c>
      <c r="AA52" s="6">
        <v>25761</v>
      </c>
    </row>
    <row r="53" spans="1:27">
      <c r="A53" s="2"/>
      <c r="C53" s="9"/>
      <c r="D53" s="9"/>
      <c r="F53" s="6"/>
      <c r="G53" s="6"/>
      <c r="I53" s="33"/>
      <c r="X53" s="2"/>
      <c r="Y53" s="2"/>
    </row>
    <row r="54" spans="1:27">
      <c r="A54" s="11" t="s">
        <v>51</v>
      </c>
      <c r="B54" s="6">
        <f>AVERAGE(J54:W54)</f>
        <v>1942740.5357142857</v>
      </c>
      <c r="C54" s="9">
        <f>C41+C50+C52</f>
        <v>0.59827095694629973</v>
      </c>
      <c r="D54" s="9">
        <f>M54/$M$12</f>
        <v>0.49949514983727411</v>
      </c>
      <c r="E54" s="6">
        <f>E41+E50+E52</f>
        <v>4453277.3537083454</v>
      </c>
      <c r="F54" s="6"/>
      <c r="G54" s="6"/>
      <c r="I54" s="33">
        <f>I41+I50+I52</f>
        <v>12034366</v>
      </c>
      <c r="J54" s="33">
        <f>J41+J50+J52</f>
        <v>9020653</v>
      </c>
      <c r="K54" s="33">
        <f>K41+K50+K52</f>
        <v>5550645</v>
      </c>
      <c r="L54" s="6">
        <f>IF(AA54&lt;&gt;0,AA54*3/2,CHAR(20))</f>
        <v>4183162.5</v>
      </c>
      <c r="M54" s="6">
        <f t="shared" ref="M54:W54" si="16">M41+M50+M52</f>
        <v>1817020</v>
      </c>
      <c r="N54" s="6">
        <f t="shared" si="16"/>
        <v>1096420</v>
      </c>
      <c r="O54" s="20">
        <f t="shared" si="16"/>
        <v>787535</v>
      </c>
      <c r="P54" s="6">
        <f t="shared" si="16"/>
        <v>908646</v>
      </c>
      <c r="Q54" s="6">
        <f t="shared" si="16"/>
        <v>748350</v>
      </c>
      <c r="R54" s="6">
        <f t="shared" si="16"/>
        <v>768616</v>
      </c>
      <c r="S54" s="6">
        <f t="shared" si="16"/>
        <v>733958</v>
      </c>
      <c r="T54" s="6">
        <f t="shared" si="16"/>
        <v>460898</v>
      </c>
      <c r="U54" s="6">
        <f t="shared" si="16"/>
        <v>499548</v>
      </c>
      <c r="V54" s="6">
        <f t="shared" si="16"/>
        <v>344756</v>
      </c>
      <c r="W54" s="6">
        <f t="shared" si="16"/>
        <v>278160</v>
      </c>
      <c r="X54" s="2"/>
      <c r="Y54" s="2">
        <f>Y41+Y50+Y52</f>
        <v>2820745.5508688362</v>
      </c>
      <c r="Z54" s="6">
        <f>Z41+Z50+Z52</f>
        <v>2788775</v>
      </c>
      <c r="AA54" s="6">
        <f>AA41+AA50+AA52</f>
        <v>2788775</v>
      </c>
    </row>
    <row r="55" spans="1:27">
      <c r="A55" s="2"/>
      <c r="C55" s="9"/>
      <c r="D55" s="9"/>
      <c r="F55" s="6"/>
      <c r="G55" s="6"/>
      <c r="I55" s="33"/>
      <c r="X55" s="2"/>
      <c r="Y55" s="2"/>
    </row>
    <row r="56" spans="1:27">
      <c r="A56" s="11" t="s">
        <v>52</v>
      </c>
      <c r="C56" s="9"/>
      <c r="D56" s="9"/>
      <c r="F56" s="6"/>
      <c r="G56" s="6"/>
      <c r="I56" s="33"/>
      <c r="X56" s="2"/>
      <c r="Y56" s="2"/>
    </row>
    <row r="57" spans="1:27">
      <c r="A57" s="11" t="s">
        <v>53</v>
      </c>
      <c r="B57" s="6">
        <f t="shared" ref="B57:B64" si="17">AVERAGE(J57:W57)</f>
        <v>332277.60714285716</v>
      </c>
      <c r="C57" s="9">
        <f t="shared" ref="C57:C63" si="18">B57/B$12</f>
        <v>0.10232557479637605</v>
      </c>
      <c r="D57" s="9">
        <f t="shared" ref="D57:D64" si="19">M57/$M$12</f>
        <v>0.15436209508556611</v>
      </c>
      <c r="E57" s="6">
        <f>E$12*$C57</f>
        <v>767441.81097282039</v>
      </c>
      <c r="F57" s="6"/>
      <c r="G57" s="6"/>
      <c r="I57" s="33">
        <v>1859522</v>
      </c>
      <c r="J57" s="33">
        <v>953793</v>
      </c>
      <c r="K57" s="33">
        <v>994280</v>
      </c>
      <c r="L57" s="6">
        <f t="shared" ref="L57:L64" si="20">IF(AA57&lt;&gt;0,AA57*3/2,CHAR(20))</f>
        <v>841612.5</v>
      </c>
      <c r="M57" s="6">
        <v>561525</v>
      </c>
      <c r="N57" s="6">
        <v>295000</v>
      </c>
      <c r="O57" s="20">
        <v>170000</v>
      </c>
      <c r="P57" s="6">
        <v>155514</v>
      </c>
      <c r="Q57" s="6">
        <v>190000</v>
      </c>
      <c r="R57" s="6">
        <v>178531</v>
      </c>
      <c r="S57" s="6">
        <v>100000</v>
      </c>
      <c r="T57" s="6">
        <v>87915</v>
      </c>
      <c r="U57" s="6">
        <v>0</v>
      </c>
      <c r="V57" s="6">
        <v>80465</v>
      </c>
      <c r="W57" s="6">
        <v>43251</v>
      </c>
      <c r="X57" s="2"/>
      <c r="Y57" s="2">
        <f>Y$12*$C57</f>
        <v>439999.971624417</v>
      </c>
      <c r="Z57" s="6">
        <v>561075</v>
      </c>
      <c r="AA57" s="6">
        <v>561075</v>
      </c>
    </row>
    <row r="58" spans="1:27">
      <c r="A58" s="11" t="s">
        <v>54</v>
      </c>
      <c r="B58" s="6">
        <f t="shared" si="17"/>
        <v>166602.75</v>
      </c>
      <c r="C58" s="9">
        <f t="shared" si="18"/>
        <v>5.1305660658250617E-2</v>
      </c>
      <c r="D58" s="9">
        <f t="shared" si="19"/>
        <v>4.8316620909895858E-2</v>
      </c>
      <c r="E58" s="6">
        <f>E$12*$C58</f>
        <v>384792.45493687963</v>
      </c>
      <c r="F58" s="6"/>
      <c r="G58" s="6"/>
      <c r="I58" s="33">
        <v>835442</v>
      </c>
      <c r="J58" s="33">
        <v>503147</v>
      </c>
      <c r="K58" s="33">
        <v>588958</v>
      </c>
      <c r="L58" s="6">
        <f t="shared" si="20"/>
        <v>490729.5</v>
      </c>
      <c r="M58" s="6">
        <v>175762</v>
      </c>
      <c r="N58" s="6">
        <v>117529</v>
      </c>
      <c r="O58" s="20">
        <f>79845+6462</f>
        <v>86307</v>
      </c>
      <c r="P58" s="6">
        <v>119893</v>
      </c>
      <c r="Q58" s="6">
        <v>85883</v>
      </c>
      <c r="R58" s="6">
        <v>65313</v>
      </c>
      <c r="S58" s="6">
        <v>21555</v>
      </c>
      <c r="T58" s="6">
        <v>17966</v>
      </c>
      <c r="U58" s="6">
        <v>24762</v>
      </c>
      <c r="V58" s="6">
        <v>11246</v>
      </c>
      <c r="W58" s="6">
        <v>23388</v>
      </c>
      <c r="X58" s="2"/>
      <c r="Y58" s="2">
        <f>Y$12*$C58</f>
        <v>220614.34083047765</v>
      </c>
      <c r="Z58" s="6">
        <f>20647+306506</f>
        <v>327153</v>
      </c>
      <c r="AA58" s="6">
        <f>20647+306506</f>
        <v>327153</v>
      </c>
    </row>
    <row r="59" spans="1:27">
      <c r="A59" s="11" t="s">
        <v>55</v>
      </c>
      <c r="B59" s="6">
        <f t="shared" si="17"/>
        <v>115469.3880952381</v>
      </c>
      <c r="C59" s="9">
        <f t="shared" si="18"/>
        <v>3.5559036342618172E-2</v>
      </c>
      <c r="D59" s="9">
        <f t="shared" si="19"/>
        <v>4.0195859321502277E-2</v>
      </c>
      <c r="E59" s="6">
        <f>E$12*$C59</f>
        <v>266692.77256963629</v>
      </c>
      <c r="F59" s="6"/>
      <c r="G59" s="6"/>
      <c r="I59" s="33">
        <v>285416</v>
      </c>
      <c r="J59" s="33">
        <v>282125</v>
      </c>
      <c r="K59" s="33">
        <v>225182</v>
      </c>
      <c r="L59" s="6">
        <f t="shared" si="20"/>
        <v>357276</v>
      </c>
      <c r="M59" s="6">
        <v>146221</v>
      </c>
      <c r="N59" s="6">
        <v>101365</v>
      </c>
      <c r="O59" s="20">
        <v>102881</v>
      </c>
      <c r="P59" s="6">
        <v>85416</v>
      </c>
      <c r="Q59" s="6">
        <v>83312</v>
      </c>
      <c r="R59" s="6">
        <v>64797</v>
      </c>
      <c r="S59" s="6">
        <v>41663</v>
      </c>
      <c r="T59" s="6">
        <v>31207</v>
      </c>
      <c r="U59" s="6">
        <f>U80/30</f>
        <v>38570.066666666666</v>
      </c>
      <c r="V59" s="6">
        <f>V80/30</f>
        <v>27508.433333333334</v>
      </c>
      <c r="W59" s="6">
        <f>W80/30</f>
        <v>29047.933333333334</v>
      </c>
      <c r="X59" s="2"/>
      <c r="Y59" s="2">
        <f>Y$12*$C59</f>
        <v>152903.85627325813</v>
      </c>
      <c r="Z59" s="6">
        <v>238184</v>
      </c>
      <c r="AA59" s="6">
        <v>238184</v>
      </c>
    </row>
    <row r="60" spans="1:27">
      <c r="A60" s="11" t="s">
        <v>56</v>
      </c>
      <c r="B60" s="6">
        <f t="shared" si="17"/>
        <v>39833.678571428572</v>
      </c>
      <c r="C60" s="9">
        <f t="shared" si="18"/>
        <v>1.2266863515491453E-2</v>
      </c>
      <c r="D60" s="9">
        <f t="shared" si="19"/>
        <v>1.7873592556642046E-2</v>
      </c>
      <c r="E60" s="6">
        <f>E$12*$C60</f>
        <v>92001.476366185889</v>
      </c>
      <c r="F60" s="6"/>
      <c r="G60" s="6"/>
      <c r="I60" s="33">
        <f>313549+98646</f>
        <v>412195</v>
      </c>
      <c r="J60" s="33">
        <v>126053</v>
      </c>
      <c r="K60" s="33">
        <v>84884</v>
      </c>
      <c r="L60" s="6">
        <f t="shared" si="20"/>
        <v>93427.5</v>
      </c>
      <c r="M60" s="6">
        <v>65019</v>
      </c>
      <c r="N60" s="6">
        <v>42374</v>
      </c>
      <c r="O60" s="20">
        <v>38667</v>
      </c>
      <c r="P60" s="6">
        <v>43091</v>
      </c>
      <c r="Q60" s="6">
        <v>16283</v>
      </c>
      <c r="R60" s="6">
        <v>19182</v>
      </c>
      <c r="S60" s="6">
        <f>63358-S59</f>
        <v>21695</v>
      </c>
      <c r="T60" s="6">
        <v>2203</v>
      </c>
      <c r="U60" s="6">
        <v>3971</v>
      </c>
      <c r="V60" s="6">
        <v>822</v>
      </c>
      <c r="W60" s="6">
        <v>0</v>
      </c>
      <c r="X60" s="2"/>
      <c r="Y60" s="2">
        <f>Y$12*$C60</f>
        <v>52747.513116613249</v>
      </c>
      <c r="Z60" s="6">
        <v>62285</v>
      </c>
      <c r="AA60" s="6">
        <v>62285</v>
      </c>
    </row>
    <row r="61" spans="1:27">
      <c r="A61" s="11" t="s">
        <v>57</v>
      </c>
      <c r="B61" s="6">
        <f t="shared" si="17"/>
        <v>53389.107142857145</v>
      </c>
      <c r="C61" s="9">
        <f t="shared" si="18"/>
        <v>1.6441285716582786E-2</v>
      </c>
      <c r="D61" s="9">
        <f t="shared" si="19"/>
        <v>3.7111228950717112E-2</v>
      </c>
      <c r="F61" s="6"/>
      <c r="G61" s="6"/>
      <c r="I61" s="33"/>
      <c r="J61" s="33">
        <v>21611</v>
      </c>
      <c r="K61" s="33">
        <v>21611</v>
      </c>
      <c r="L61" s="6">
        <f t="shared" si="20"/>
        <v>225250.5</v>
      </c>
      <c r="M61" s="6">
        <v>135000</v>
      </c>
      <c r="N61" s="6">
        <v>25475</v>
      </c>
      <c r="O61" s="20">
        <v>14475</v>
      </c>
      <c r="P61" s="6">
        <v>46000</v>
      </c>
      <c r="Q61" s="6">
        <v>27475</v>
      </c>
      <c r="R61" s="6">
        <v>25775</v>
      </c>
      <c r="S61" s="6">
        <v>38075</v>
      </c>
      <c r="T61" s="6">
        <v>34600</v>
      </c>
      <c r="U61" s="6">
        <v>76200</v>
      </c>
      <c r="V61" s="6">
        <v>33900</v>
      </c>
      <c r="W61" s="6">
        <v>22000</v>
      </c>
      <c r="X61" s="2"/>
      <c r="Y61" s="2"/>
      <c r="Z61" s="6">
        <v>150167</v>
      </c>
      <c r="AA61" s="6">
        <v>150167</v>
      </c>
    </row>
    <row r="62" spans="1:27">
      <c r="A62" s="11" t="s">
        <v>58</v>
      </c>
      <c r="B62" s="6">
        <f t="shared" si="17"/>
        <v>81425.21428571429</v>
      </c>
      <c r="C62" s="9">
        <f t="shared" si="18"/>
        <v>2.5075062765579786E-2</v>
      </c>
      <c r="D62" s="9">
        <f t="shared" si="19"/>
        <v>9.5782707431839725E-3</v>
      </c>
      <c r="E62" s="6">
        <f>E$12*$C62</f>
        <v>188062.9707418484</v>
      </c>
      <c r="F62" s="6"/>
      <c r="G62" s="6"/>
      <c r="I62" s="33">
        <v>500131</v>
      </c>
      <c r="J62" s="33">
        <v>410014</v>
      </c>
      <c r="K62" s="33">
        <v>250000</v>
      </c>
      <c r="L62" s="6">
        <f t="shared" si="20"/>
        <v>96960</v>
      </c>
      <c r="M62" s="6">
        <v>34843</v>
      </c>
      <c r="N62" s="6">
        <v>46798</v>
      </c>
      <c r="O62" s="20">
        <v>38846</v>
      </c>
      <c r="P62" s="6">
        <v>25381</v>
      </c>
      <c r="Q62" s="6">
        <v>18370</v>
      </c>
      <c r="R62" s="6">
        <v>115654</v>
      </c>
      <c r="S62" s="6">
        <v>21454</v>
      </c>
      <c r="T62" s="6">
        <v>54700</v>
      </c>
      <c r="U62" s="6">
        <v>9905</v>
      </c>
      <c r="V62" s="6">
        <v>9681</v>
      </c>
      <c r="W62" s="6">
        <v>7347</v>
      </c>
      <c r="X62" s="2"/>
      <c r="Y62" s="2">
        <f>Y$12*$C62</f>
        <v>107822.76989199308</v>
      </c>
      <c r="Z62" s="6">
        <v>64640</v>
      </c>
      <c r="AA62" s="6">
        <v>64640</v>
      </c>
    </row>
    <row r="63" spans="1:27">
      <c r="A63" s="11" t="s">
        <v>59</v>
      </c>
      <c r="B63" s="6">
        <f t="shared" si="17"/>
        <v>45138.142857142855</v>
      </c>
      <c r="C63" s="9">
        <f t="shared" si="18"/>
        <v>1.3900384238388684E-2</v>
      </c>
      <c r="D63" s="9">
        <f t="shared" si="19"/>
        <v>1.2370409650239037E-2</v>
      </c>
      <c r="E63" s="6">
        <f>E$12*$C63</f>
        <v>104252.88178791513</v>
      </c>
      <c r="F63" s="6"/>
      <c r="G63" s="6"/>
      <c r="I63" s="33">
        <v>1700</v>
      </c>
      <c r="J63" s="33">
        <v>156000</v>
      </c>
      <c r="K63" s="33">
        <v>50000</v>
      </c>
      <c r="L63" s="6">
        <f t="shared" si="20"/>
        <v>142500</v>
      </c>
      <c r="M63" s="6">
        <v>45000</v>
      </c>
      <c r="N63" s="6">
        <v>25000</v>
      </c>
      <c r="O63" s="20">
        <v>0</v>
      </c>
      <c r="P63" s="6">
        <v>25000</v>
      </c>
      <c r="Q63" s="6">
        <v>0</v>
      </c>
      <c r="R63" s="6">
        <v>1006</v>
      </c>
      <c r="S63" s="6">
        <f>123298+15000</f>
        <v>138298</v>
      </c>
      <c r="T63" s="6">
        <v>9090</v>
      </c>
      <c r="U63" s="6">
        <f>19990+7200</f>
        <v>27190</v>
      </c>
      <c r="V63" s="6">
        <v>0</v>
      </c>
      <c r="W63" s="6">
        <f>3250+9600</f>
        <v>12850</v>
      </c>
      <c r="X63" s="2"/>
      <c r="Y63" s="2">
        <f>Y$12*$C63</f>
        <v>59771.652225071339</v>
      </c>
      <c r="Z63" s="6">
        <v>95000</v>
      </c>
      <c r="AA63" s="6">
        <v>95000</v>
      </c>
    </row>
    <row r="64" spans="1:27">
      <c r="A64" s="19" t="s">
        <v>60</v>
      </c>
      <c r="B64" s="6">
        <f t="shared" si="17"/>
        <v>834135.88809523813</v>
      </c>
      <c r="C64" s="9"/>
      <c r="D64" s="9">
        <f t="shared" si="19"/>
        <v>0.3198080772177464</v>
      </c>
      <c r="E64" s="6">
        <f>SUM(E57:E63)</f>
        <v>1803244.3673752858</v>
      </c>
      <c r="F64" s="6"/>
      <c r="G64" s="6"/>
      <c r="I64" s="33">
        <f>SUM(I57:I63)</f>
        <v>3894406</v>
      </c>
      <c r="J64" s="33">
        <f>SUM(J57:J63)</f>
        <v>2452743</v>
      </c>
      <c r="K64" s="33">
        <f>SUM(K57:K63)</f>
        <v>2214915</v>
      </c>
      <c r="L64" s="6">
        <f t="shared" si="20"/>
        <v>2247756</v>
      </c>
      <c r="M64" s="6">
        <f t="shared" ref="M64:W64" si="21">SUM(M57:M63)</f>
        <v>1163370</v>
      </c>
      <c r="N64" s="6">
        <f t="shared" si="21"/>
        <v>653541</v>
      </c>
      <c r="O64" s="20">
        <f t="shared" si="21"/>
        <v>451176</v>
      </c>
      <c r="P64" s="6">
        <f t="shared" si="21"/>
        <v>500295</v>
      </c>
      <c r="Q64" s="6">
        <f t="shared" si="21"/>
        <v>421323</v>
      </c>
      <c r="R64" s="6">
        <f t="shared" si="21"/>
        <v>470258</v>
      </c>
      <c r="S64" s="6">
        <f t="shared" si="21"/>
        <v>382740</v>
      </c>
      <c r="T64" s="6">
        <f t="shared" si="21"/>
        <v>237681</v>
      </c>
      <c r="U64" s="6">
        <f t="shared" si="21"/>
        <v>180598.06666666665</v>
      </c>
      <c r="V64" s="6">
        <f t="shared" si="21"/>
        <v>163622.43333333335</v>
      </c>
      <c r="W64" s="6">
        <f t="shared" si="21"/>
        <v>137883.93333333335</v>
      </c>
      <c r="X64" s="2"/>
      <c r="Y64" s="2">
        <f>SUM(Y57:Y63)</f>
        <v>1033860.1039618305</v>
      </c>
      <c r="Z64" s="35">
        <f>SUM(Z57:Z63)</f>
        <v>1498504</v>
      </c>
      <c r="AA64" s="35">
        <f>SUM(AA57:AA63)</f>
        <v>1498504</v>
      </c>
    </row>
    <row r="65" spans="1:27">
      <c r="A65" s="2"/>
      <c r="C65" s="9"/>
      <c r="D65" s="9"/>
      <c r="F65" s="6"/>
      <c r="G65" s="6"/>
      <c r="I65" s="33"/>
      <c r="X65" s="2"/>
      <c r="Y65" s="2"/>
    </row>
    <row r="66" spans="1:27">
      <c r="A66" s="11" t="s">
        <v>61</v>
      </c>
      <c r="B66" s="6">
        <f>AVERAGE(J66:W66)</f>
        <v>354801.32142857142</v>
      </c>
      <c r="C66" s="9">
        <f>B66/B$12</f>
        <v>0.10926179908983008</v>
      </c>
      <c r="D66" s="9">
        <f>M66/$M$12</f>
        <v>1.851630406247002E-2</v>
      </c>
      <c r="E66" s="6">
        <f>E$12*$C66</f>
        <v>819463.49317372555</v>
      </c>
      <c r="F66" s="6"/>
      <c r="G66" s="6"/>
      <c r="I66" s="33">
        <v>4494230</v>
      </c>
      <c r="J66" s="33">
        <v>3487396</v>
      </c>
      <c r="K66" s="33">
        <v>942565</v>
      </c>
      <c r="L66" s="6">
        <f>IF(AA66&lt;&gt;0,AA66*3/2,CHAR(20))</f>
        <v>163312.5</v>
      </c>
      <c r="M66" s="6">
        <f>29232+38125</f>
        <v>67357</v>
      </c>
      <c r="N66" s="6">
        <f>43516+17650</f>
        <v>61166</v>
      </c>
      <c r="O66" s="20">
        <f>39903+15000</f>
        <v>54903</v>
      </c>
      <c r="P66" s="6">
        <f>27586+4475</f>
        <v>32061</v>
      </c>
      <c r="Q66" s="6">
        <f>32967+2000</f>
        <v>34967</v>
      </c>
      <c r="R66" s="6">
        <f>7092+600</f>
        <v>7692</v>
      </c>
      <c r="S66" s="6">
        <v>40817</v>
      </c>
      <c r="T66" s="6">
        <v>2061</v>
      </c>
      <c r="U66" s="6">
        <v>47270</v>
      </c>
      <c r="V66" s="6">
        <v>9733</v>
      </c>
      <c r="W66" s="6">
        <v>15918</v>
      </c>
      <c r="X66" s="2"/>
      <c r="Y66" s="2">
        <f>Y$12*$C66</f>
        <v>469825.73608626937</v>
      </c>
      <c r="Z66" s="6">
        <v>108875</v>
      </c>
      <c r="AA66" s="6">
        <v>108875</v>
      </c>
    </row>
    <row r="67" spans="1:27">
      <c r="A67" s="2"/>
      <c r="C67" s="9"/>
      <c r="D67" s="9"/>
      <c r="F67" s="6"/>
      <c r="G67" s="6"/>
      <c r="I67" s="33"/>
      <c r="X67" s="2"/>
      <c r="Y67" s="2"/>
    </row>
    <row r="68" spans="1:27">
      <c r="A68" s="11" t="s">
        <v>62</v>
      </c>
      <c r="B68" s="6">
        <f>AVERAGE(J68:W68)</f>
        <v>-4993.9230769230771</v>
      </c>
      <c r="C68" s="9">
        <f>B68/B$12</f>
        <v>-1.5378889168277366E-3</v>
      </c>
      <c r="D68" s="9">
        <f>M68/$M$12</f>
        <v>-3.8089865803047135E-3</v>
      </c>
      <c r="F68" s="6"/>
      <c r="G68" s="6"/>
      <c r="I68" s="33"/>
      <c r="J68" s="33">
        <v>0</v>
      </c>
      <c r="K68" s="33">
        <v>0</v>
      </c>
      <c r="L68" s="6">
        <f>IF(AA68&lt;&gt;0,AA68*3/2,CHAR(20))</f>
        <v>-20784</v>
      </c>
      <c r="M68" s="6">
        <v>-13856</v>
      </c>
      <c r="N68" s="6">
        <v>-6231</v>
      </c>
      <c r="O68" s="20">
        <v>-300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-9625</v>
      </c>
      <c r="V68" s="6">
        <v>-14125</v>
      </c>
      <c r="X68" s="2"/>
      <c r="Y68" s="2"/>
      <c r="Z68" s="6">
        <v>-13856</v>
      </c>
      <c r="AA68" s="6">
        <v>-13856</v>
      </c>
    </row>
    <row r="69" spans="1:27">
      <c r="A69" s="2"/>
      <c r="C69" s="9"/>
      <c r="D69" s="9"/>
      <c r="F69" s="6"/>
      <c r="G69" s="6"/>
      <c r="I69" s="33"/>
      <c r="X69" s="2"/>
      <c r="Y69" s="2"/>
    </row>
    <row r="70" spans="1:27">
      <c r="A70" s="11" t="s">
        <v>63</v>
      </c>
      <c r="B70" s="6">
        <f t="shared" ref="B70:B75" si="22">AVERAGE(M70:W70)</f>
        <v>304691.86969696969</v>
      </c>
      <c r="C70" s="9">
        <f>B70/B$12</f>
        <v>9.3830490024928409E-2</v>
      </c>
      <c r="D70" s="9">
        <f>M70/$M$12</f>
        <v>0.1649797551373624</v>
      </c>
      <c r="E70" s="6">
        <f>E54-E64-E66-E68</f>
        <v>1830569.4931593342</v>
      </c>
      <c r="F70" s="6">
        <v>3954759.6800000002</v>
      </c>
      <c r="G70" s="6">
        <v>3938489.54</v>
      </c>
      <c r="H70">
        <v>3508274</v>
      </c>
      <c r="I70" s="33">
        <f>I54-I64-I66-I68</f>
        <v>3645730</v>
      </c>
      <c r="J70" s="33">
        <f>J54-J64-J66-J68</f>
        <v>3080514</v>
      </c>
      <c r="K70" s="33">
        <f>K54-K64-K66-K68</f>
        <v>2393165</v>
      </c>
      <c r="L70" s="6">
        <f>IF(AA70&lt;&gt;0,AA70*3/2,CHAR(20))</f>
        <v>1792878</v>
      </c>
      <c r="M70" s="6">
        <f t="shared" ref="M70:W70" si="23">M54-M64-M66-M68</f>
        <v>600149</v>
      </c>
      <c r="N70" s="6">
        <f t="shared" si="23"/>
        <v>387944</v>
      </c>
      <c r="O70" s="20">
        <f t="shared" si="23"/>
        <v>281756</v>
      </c>
      <c r="P70" s="6">
        <f t="shared" si="23"/>
        <v>376290</v>
      </c>
      <c r="Q70" s="6">
        <f t="shared" si="23"/>
        <v>292060</v>
      </c>
      <c r="R70" s="6">
        <f t="shared" si="23"/>
        <v>290666</v>
      </c>
      <c r="S70" s="6">
        <f t="shared" si="23"/>
        <v>310401</v>
      </c>
      <c r="T70" s="6">
        <f t="shared" si="23"/>
        <v>221156</v>
      </c>
      <c r="U70" s="6">
        <f t="shared" si="23"/>
        <v>281304.93333333335</v>
      </c>
      <c r="V70" s="6">
        <f t="shared" si="23"/>
        <v>185525.56666666665</v>
      </c>
      <c r="W70" s="6">
        <f t="shared" si="23"/>
        <v>124358.06666666665</v>
      </c>
      <c r="X70" s="2"/>
      <c r="Y70" s="2">
        <f>Y54-Y64-Y66-Y68</f>
        <v>1317059.7108207364</v>
      </c>
      <c r="Z70" s="6">
        <f>Z54-Z64-Z66-Z68</f>
        <v>1195252</v>
      </c>
      <c r="AA70" s="6">
        <f>AA54-AA64-AA66-AA68</f>
        <v>1195252</v>
      </c>
    </row>
    <row r="71" spans="1:27">
      <c r="A71" s="11" t="s">
        <v>64</v>
      </c>
      <c r="B71" s="6">
        <f t="shared" si="22"/>
        <v>767627.90909090906</v>
      </c>
      <c r="C71" s="9">
        <f>SUM(C57:C70)</f>
        <v>0.45842826823121829</v>
      </c>
      <c r="D71" s="9">
        <f>M71/$M$12</f>
        <v>0.49949514983727411</v>
      </c>
      <c r="E71" s="6">
        <f>SUM(E64:E70)</f>
        <v>4453277.3537083454</v>
      </c>
      <c r="F71" s="6"/>
      <c r="G71" s="6"/>
      <c r="I71" s="33">
        <f>SUM(I64:I70)</f>
        <v>12034366</v>
      </c>
      <c r="J71" s="33">
        <f>SUM(J64:J70)</f>
        <v>9020653</v>
      </c>
      <c r="K71" s="33">
        <f>SUM(K64:K70)</f>
        <v>5550645</v>
      </c>
      <c r="L71" s="6">
        <f>IF(AA71&lt;&gt;0,AA71*3/2,CHAR(20))</f>
        <v>4183162.5</v>
      </c>
      <c r="M71" s="6">
        <f t="shared" ref="M71:W71" si="24">SUM(M64:M70)</f>
        <v>1817020</v>
      </c>
      <c r="N71" s="6">
        <f t="shared" si="24"/>
        <v>1096420</v>
      </c>
      <c r="O71" s="20">
        <f t="shared" si="24"/>
        <v>787535</v>
      </c>
      <c r="P71" s="6">
        <f t="shared" si="24"/>
        <v>908646</v>
      </c>
      <c r="Q71" s="6">
        <f t="shared" si="24"/>
        <v>748350</v>
      </c>
      <c r="R71" s="6">
        <f t="shared" si="24"/>
        <v>768616</v>
      </c>
      <c r="S71" s="6">
        <f t="shared" si="24"/>
        <v>733958</v>
      </c>
      <c r="T71" s="6">
        <f t="shared" si="24"/>
        <v>460898</v>
      </c>
      <c r="U71" s="6">
        <f t="shared" si="24"/>
        <v>499548</v>
      </c>
      <c r="V71" s="6">
        <f t="shared" si="24"/>
        <v>344756</v>
      </c>
      <c r="W71" s="6">
        <f t="shared" si="24"/>
        <v>278160</v>
      </c>
      <c r="X71" s="2"/>
      <c r="Y71" s="2">
        <f>SUM(Y64:Y70)</f>
        <v>2820745.5508688362</v>
      </c>
      <c r="Z71" s="6">
        <f>SUM(Z64:Z70)</f>
        <v>2788775</v>
      </c>
      <c r="AA71" s="6">
        <f>SUM(AA64:AA70)</f>
        <v>2788775</v>
      </c>
    </row>
    <row r="72" spans="1:27" s="36" customFormat="1">
      <c r="A72" s="13" t="s">
        <v>65</v>
      </c>
      <c r="B72" s="36">
        <f t="shared" si="22"/>
        <v>9542.2727272727279</v>
      </c>
      <c r="E72" s="36">
        <v>9990</v>
      </c>
      <c r="H72"/>
      <c r="I72" s="7">
        <v>12807</v>
      </c>
      <c r="J72" s="7">
        <v>12807</v>
      </c>
      <c r="K72" s="7">
        <v>12384</v>
      </c>
      <c r="L72" s="36">
        <f>10000-345</f>
        <v>9655</v>
      </c>
      <c r="M72" s="36">
        <f>10000-345</f>
        <v>9655</v>
      </c>
      <c r="N72" s="36">
        <v>9795</v>
      </c>
      <c r="O72" s="48">
        <v>9990</v>
      </c>
      <c r="P72" s="36">
        <v>10000</v>
      </c>
      <c r="Q72" s="36">
        <f>10000-575</f>
        <v>9425</v>
      </c>
      <c r="R72" s="36">
        <f>10000-550</f>
        <v>9450</v>
      </c>
      <c r="S72" s="36">
        <f>10000-550</f>
        <v>9450</v>
      </c>
      <c r="T72" s="36">
        <v>9450</v>
      </c>
      <c r="U72" s="36">
        <f>10000-550</f>
        <v>9450</v>
      </c>
      <c r="V72" s="36">
        <v>9150</v>
      </c>
      <c r="W72" s="36">
        <v>9150</v>
      </c>
      <c r="Y72" s="36">
        <v>9990</v>
      </c>
      <c r="Z72" s="36">
        <f>10000-345</f>
        <v>9655</v>
      </c>
      <c r="AA72" s="36">
        <f>10000-345</f>
        <v>9655</v>
      </c>
    </row>
    <row r="73" spans="1:27" s="41" customFormat="1">
      <c r="A73" s="16" t="s">
        <v>66</v>
      </c>
      <c r="B73" s="41">
        <f t="shared" si="22"/>
        <v>31.74807615276486</v>
      </c>
      <c r="E73" s="41">
        <f>(+E70)/E72</f>
        <v>183.24018950543885</v>
      </c>
      <c r="H73"/>
      <c r="I73" s="37">
        <f t="shared" ref="I73:W73" si="25">(+I70)/I72</f>
        <v>284.66697899586165</v>
      </c>
      <c r="J73" s="37">
        <f t="shared" si="25"/>
        <v>240.5336144296088</v>
      </c>
      <c r="K73" s="37">
        <f t="shared" si="25"/>
        <v>193.24652777777777</v>
      </c>
      <c r="L73" s="41">
        <f t="shared" si="25"/>
        <v>185.69425168306577</v>
      </c>
      <c r="M73" s="41">
        <f t="shared" si="25"/>
        <v>62.159399274987052</v>
      </c>
      <c r="N73" s="41">
        <f t="shared" si="25"/>
        <v>39.606329760081671</v>
      </c>
      <c r="O73" s="49">
        <f t="shared" si="25"/>
        <v>28.203803803803805</v>
      </c>
      <c r="P73" s="41">
        <f t="shared" si="25"/>
        <v>37.628999999999998</v>
      </c>
      <c r="Q73" s="41">
        <f t="shared" si="25"/>
        <v>30.987798408488064</v>
      </c>
      <c r="R73" s="41">
        <f t="shared" si="25"/>
        <v>30.758306878306879</v>
      </c>
      <c r="S73" s="41">
        <f t="shared" si="25"/>
        <v>32.846666666666664</v>
      </c>
      <c r="T73" s="41">
        <f t="shared" si="25"/>
        <v>23.402751322751321</v>
      </c>
      <c r="U73" s="41">
        <f t="shared" si="25"/>
        <v>29.767717813051149</v>
      </c>
      <c r="V73" s="41">
        <f t="shared" si="25"/>
        <v>20.276018214936247</v>
      </c>
      <c r="W73" s="41">
        <f t="shared" si="25"/>
        <v>13.591045537340618</v>
      </c>
      <c r="Y73" s="41">
        <f>(+Y70)/Y72</f>
        <v>131.8378088909646</v>
      </c>
      <c r="Z73" s="41">
        <f>(+Z70)/Z72</f>
        <v>123.79616778871052</v>
      </c>
      <c r="AA73" s="41">
        <f>(+AA70)/AA72</f>
        <v>123.79616778871052</v>
      </c>
    </row>
    <row r="74" spans="1:27" s="41" customFormat="1">
      <c r="A74" s="16" t="s">
        <v>67</v>
      </c>
      <c r="B74" s="41">
        <f t="shared" si="22"/>
        <v>38.83927180577966</v>
      </c>
      <c r="E74" s="41">
        <f>(E70+E59)/E72</f>
        <v>209.93616273563268</v>
      </c>
      <c r="H74"/>
      <c r="I74" s="37">
        <f t="shared" ref="I74:W74" si="26">(I70+I59)/I72</f>
        <v>306.95291637385805</v>
      </c>
      <c r="J74" s="37">
        <f t="shared" si="26"/>
        <v>262.56258296244243</v>
      </c>
      <c r="K74" s="37">
        <f t="shared" si="26"/>
        <v>211.4298288113695</v>
      </c>
      <c r="L74" s="41">
        <f t="shared" si="26"/>
        <v>222.69849818746764</v>
      </c>
      <c r="M74" s="41">
        <f t="shared" si="26"/>
        <v>77.303987571206633</v>
      </c>
      <c r="N74" s="41">
        <f t="shared" si="26"/>
        <v>49.954977029096476</v>
      </c>
      <c r="O74" s="49">
        <f t="shared" si="26"/>
        <v>38.502202202202206</v>
      </c>
      <c r="P74" s="41">
        <f t="shared" si="26"/>
        <v>46.1706</v>
      </c>
      <c r="Q74" s="41">
        <f t="shared" si="26"/>
        <v>39.827267904509284</v>
      </c>
      <c r="R74" s="41">
        <f t="shared" si="26"/>
        <v>37.615132275132275</v>
      </c>
      <c r="S74" s="41">
        <f t="shared" si="26"/>
        <v>37.255449735449737</v>
      </c>
      <c r="T74" s="41">
        <f t="shared" si="26"/>
        <v>26.705079365079364</v>
      </c>
      <c r="U74" s="41">
        <f t="shared" si="26"/>
        <v>33.849206349206348</v>
      </c>
      <c r="V74" s="41">
        <f t="shared" si="26"/>
        <v>23.2824043715847</v>
      </c>
      <c r="W74" s="41">
        <f t="shared" si="26"/>
        <v>16.765683060109289</v>
      </c>
      <c r="Y74" s="41">
        <f>(Y70+Y59)/Y72</f>
        <v>147.14350020960904</v>
      </c>
      <c r="Z74" s="41">
        <f>(Z70+Z59)/Z72</f>
        <v>148.46566545831175</v>
      </c>
      <c r="AA74" s="41">
        <f>(AA70+AA59)/AA72</f>
        <v>148.46566545831175</v>
      </c>
    </row>
    <row r="75" spans="1:27">
      <c r="A75" s="19" t="s">
        <v>68</v>
      </c>
      <c r="B75" s="6">
        <f t="shared" si="22"/>
        <v>288431.27184786875</v>
      </c>
      <c r="C75" s="9"/>
      <c r="D75" s="9">
        <f>M75/$M$12</f>
        <v>0.15523988352386717</v>
      </c>
      <c r="F75" s="6"/>
      <c r="G75" s="6"/>
      <c r="I75" s="33">
        <f t="shared" ref="I75:W75" si="27">I73*9085</f>
        <v>2586199.5041774032</v>
      </c>
      <c r="J75" s="33">
        <f t="shared" si="27"/>
        <v>2185247.8870929959</v>
      </c>
      <c r="K75" s="33">
        <f t="shared" si="27"/>
        <v>1755644.704861111</v>
      </c>
      <c r="L75" s="6">
        <f t="shared" si="27"/>
        <v>1687032.2765406526</v>
      </c>
      <c r="M75" s="6">
        <f t="shared" si="27"/>
        <v>564718.14241325739</v>
      </c>
      <c r="N75" s="6">
        <f t="shared" si="27"/>
        <v>359823.50587034196</v>
      </c>
      <c r="O75" s="20">
        <f t="shared" si="27"/>
        <v>256231.55755755756</v>
      </c>
      <c r="P75" s="6">
        <f t="shared" si="27"/>
        <v>341859.46499999997</v>
      </c>
      <c r="Q75" s="6">
        <f t="shared" si="27"/>
        <v>281524.14854111406</v>
      </c>
      <c r="R75" s="6">
        <f t="shared" si="27"/>
        <v>279439.21798941802</v>
      </c>
      <c r="S75" s="6">
        <f t="shared" si="27"/>
        <v>298411.96666666662</v>
      </c>
      <c r="T75" s="6">
        <f t="shared" si="27"/>
        <v>212613.99576719574</v>
      </c>
      <c r="U75" s="6">
        <f t="shared" si="27"/>
        <v>270439.71633156971</v>
      </c>
      <c r="V75" s="6">
        <f t="shared" si="27"/>
        <v>184207.62548269582</v>
      </c>
      <c r="W75" s="6">
        <f t="shared" si="27"/>
        <v>123474.64870673951</v>
      </c>
      <c r="X75" s="2"/>
      <c r="Y75" s="2"/>
      <c r="Z75" s="6">
        <f>Z73*9085</f>
        <v>1124688.184360435</v>
      </c>
      <c r="AA75" s="6">
        <f>AA73*9085</f>
        <v>1124688.184360435</v>
      </c>
    </row>
    <row r="76" spans="1:27">
      <c r="A76" s="2"/>
      <c r="C76" s="9"/>
      <c r="D76" s="9"/>
      <c r="F76" s="6"/>
      <c r="G76" s="6"/>
      <c r="I76" s="33"/>
      <c r="X76" s="2"/>
      <c r="Y76" s="2"/>
    </row>
    <row r="77" spans="1:27">
      <c r="A77" s="2"/>
      <c r="C77" s="9"/>
      <c r="D77" s="9"/>
      <c r="F77" s="6"/>
      <c r="G77" s="6"/>
      <c r="I77" s="33"/>
      <c r="X77" s="2"/>
      <c r="Y77" s="2"/>
    </row>
    <row r="78" spans="1:27">
      <c r="A78" s="11" t="s">
        <v>69</v>
      </c>
      <c r="C78" s="9"/>
      <c r="D78" s="9"/>
      <c r="F78" s="6"/>
      <c r="G78" s="6"/>
      <c r="I78" s="33"/>
      <c r="X78" s="2"/>
      <c r="Y78" s="2"/>
    </row>
    <row r="79" spans="1:27">
      <c r="A79" s="2"/>
      <c r="C79" s="9"/>
      <c r="D79" s="9"/>
      <c r="F79" s="6"/>
      <c r="G79" s="6"/>
      <c r="I79" s="33"/>
      <c r="X79" s="2"/>
      <c r="Y79" s="2"/>
    </row>
    <row r="80" spans="1:27">
      <c r="A80" s="11" t="s">
        <v>70</v>
      </c>
      <c r="B80" s="6">
        <f t="shared" ref="B80:B86" si="28">AVERAGE(J80:W80)</f>
        <v>3247258.6428571427</v>
      </c>
      <c r="C80" s="9">
        <f t="shared" ref="C80:C86" si="29">B80/B$12</f>
        <v>1</v>
      </c>
      <c r="D80" s="9">
        <f t="shared" ref="D80:D87" si="30">M80/$M$12</f>
        <v>1</v>
      </c>
      <c r="E80" s="6">
        <f>E12</f>
        <v>7500000</v>
      </c>
      <c r="F80" s="6"/>
      <c r="G80" s="6"/>
      <c r="I80" s="33">
        <f>I12</f>
        <v>14018358</v>
      </c>
      <c r="J80" s="33">
        <f>J12</f>
        <v>10710355</v>
      </c>
      <c r="K80" s="33">
        <f>K12</f>
        <v>8156183</v>
      </c>
      <c r="L80" s="6">
        <f>IF(AA80&lt;&gt;0,AA80*3/2,CHAR(20))</f>
        <v>6605757</v>
      </c>
      <c r="M80" s="6">
        <f>M12</f>
        <v>3637713</v>
      </c>
      <c r="N80" s="6">
        <f>2610626+103946</f>
        <v>2714572</v>
      </c>
      <c r="O80" s="20">
        <v>2517225</v>
      </c>
      <c r="P80" s="6">
        <v>2344941</v>
      </c>
      <c r="Q80" s="6">
        <v>1712528</v>
      </c>
      <c r="R80" s="6">
        <v>1477509</v>
      </c>
      <c r="S80" s="6">
        <v>1686887</v>
      </c>
      <c r="T80" s="6">
        <v>1044158</v>
      </c>
      <c r="U80" s="6">
        <v>1157102</v>
      </c>
      <c r="V80" s="6">
        <v>825253</v>
      </c>
      <c r="W80" s="6">
        <v>871438</v>
      </c>
      <c r="X80" s="2"/>
      <c r="Y80" s="2">
        <f>Y12</f>
        <v>4300000</v>
      </c>
      <c r="Z80" s="6">
        <f>Z12</f>
        <v>4403838</v>
      </c>
      <c r="AA80" s="6">
        <f>AA12</f>
        <v>4403838</v>
      </c>
    </row>
    <row r="81" spans="1:27">
      <c r="A81" s="11" t="s">
        <v>71</v>
      </c>
      <c r="B81" s="6">
        <f t="shared" si="28"/>
        <v>335405.27272727271</v>
      </c>
      <c r="C81" s="9">
        <f t="shared" si="29"/>
        <v>0.10328874586724081</v>
      </c>
      <c r="D81" s="9">
        <f t="shared" si="30"/>
        <v>0.10361042776051876</v>
      </c>
      <c r="E81" s="6">
        <f>E83-E82</f>
        <v>1063226.7959327898</v>
      </c>
      <c r="F81" s="6"/>
      <c r="G81" s="6"/>
      <c r="I81" s="33">
        <v>927494</v>
      </c>
      <c r="J81" s="33">
        <v>756119</v>
      </c>
      <c r="K81" s="33">
        <f>711651+50000</f>
        <v>761651</v>
      </c>
      <c r="L81" s="6">
        <f>IF(AA81&lt;&gt;0,AA81*3/2,CHAR(20))</f>
        <v>1193355</v>
      </c>
      <c r="M81" s="6">
        <f>M84+M85+M86</f>
        <v>376905</v>
      </c>
      <c r="N81" s="6">
        <v>158300</v>
      </c>
      <c r="P81" s="6">
        <f>93379+21000</f>
        <v>114379</v>
      </c>
      <c r="S81" s="6">
        <v>107845</v>
      </c>
      <c r="T81" s="6">
        <v>-38253</v>
      </c>
      <c r="U81" s="6">
        <v>164929</v>
      </c>
      <c r="V81" s="6">
        <v>39003</v>
      </c>
      <c r="W81" s="6">
        <v>55225</v>
      </c>
      <c r="X81" s="2"/>
      <c r="Y81" s="2">
        <f>Y83-Y82</f>
        <v>0</v>
      </c>
      <c r="Z81" s="6">
        <f>Z84+Z85+Z86</f>
        <v>795570</v>
      </c>
      <c r="AA81" s="6">
        <f>AA84+AA85+AA86</f>
        <v>795570</v>
      </c>
    </row>
    <row r="82" spans="1:27">
      <c r="A82" s="11" t="s">
        <v>72</v>
      </c>
      <c r="B82" s="6">
        <f t="shared" si="28"/>
        <v>-14692.714285714286</v>
      </c>
      <c r="C82" s="9">
        <f t="shared" si="29"/>
        <v>-4.5246516836696168E-3</v>
      </c>
      <c r="D82" s="9" t="e">
        <f t="shared" si="30"/>
        <v>#VALUE!</v>
      </c>
      <c r="F82" s="6"/>
      <c r="G82" s="6"/>
      <c r="I82" s="40"/>
      <c r="J82" s="40" t="s">
        <v>73</v>
      </c>
      <c r="K82" s="40" t="s">
        <v>73</v>
      </c>
      <c r="L82" s="6" t="s">
        <v>73</v>
      </c>
      <c r="M82" s="20" t="s">
        <v>73</v>
      </c>
      <c r="N82" s="6">
        <v>-13462</v>
      </c>
      <c r="O82" s="20">
        <f>-O81+O83</f>
        <v>-94534</v>
      </c>
      <c r="P82" s="6">
        <f>-P81+P83</f>
        <v>-24399</v>
      </c>
      <c r="T82" s="6">
        <v>-19634</v>
      </c>
      <c r="U82" s="6">
        <v>10287</v>
      </c>
      <c r="V82" s="6">
        <v>10400</v>
      </c>
      <c r="W82" s="6">
        <v>28493</v>
      </c>
      <c r="X82" s="2"/>
      <c r="Y82" s="2">
        <f>Y83</f>
        <v>473323.55244819704</v>
      </c>
      <c r="Z82" s="20" t="s">
        <v>73</v>
      </c>
      <c r="AA82" s="20" t="s">
        <v>73</v>
      </c>
    </row>
    <row r="83" spans="1:27">
      <c r="A83" s="11" t="s">
        <v>74</v>
      </c>
      <c r="B83" s="6">
        <f t="shared" si="28"/>
        <v>79302.272727272721</v>
      </c>
      <c r="C83" s="9">
        <f t="shared" si="29"/>
        <v>2.4421298531827937E-2</v>
      </c>
      <c r="D83" s="9">
        <f t="shared" si="30"/>
        <v>9.8112467915968088E-2</v>
      </c>
      <c r="E83" s="6">
        <f>E20/(1-$E$2)</f>
        <v>1063226.7959327898</v>
      </c>
      <c r="F83" s="6"/>
      <c r="G83" s="6"/>
      <c r="I83" s="33">
        <f>I82+I81</f>
        <v>927494</v>
      </c>
      <c r="M83" s="6">
        <v>356905</v>
      </c>
      <c r="N83" s="6">
        <f>119838+N84</f>
        <v>169838</v>
      </c>
      <c r="O83" s="20">
        <v>-94534</v>
      </c>
      <c r="P83" s="6">
        <f>68980+21000</f>
        <v>89980</v>
      </c>
      <c r="Q83" s="6">
        <v>-7456</v>
      </c>
      <c r="R83" s="6">
        <v>-15703</v>
      </c>
      <c r="S83" s="6">
        <f>S81+S82+15000</f>
        <v>122845</v>
      </c>
      <c r="T83" s="6">
        <f>T81+T82</f>
        <v>-57887</v>
      </c>
      <c r="U83" s="6">
        <f>U81+U82</f>
        <v>175216</v>
      </c>
      <c r="V83" s="6">
        <f>V81+V82</f>
        <v>49403</v>
      </c>
      <c r="W83" s="6">
        <f>W81+W82</f>
        <v>83718</v>
      </c>
      <c r="X83" s="2"/>
      <c r="Y83" s="2">
        <f>Y20/0.85</f>
        <v>473323.55244819704</v>
      </c>
      <c r="Z83" s="6">
        <f>SUM(Z84:Z86)</f>
        <v>795570</v>
      </c>
      <c r="AA83" s="6">
        <f>SUM(AA84:AA86)</f>
        <v>795570</v>
      </c>
    </row>
    <row r="84" spans="1:27">
      <c r="A84" s="11" t="s">
        <v>75</v>
      </c>
      <c r="B84" s="6">
        <f t="shared" si="28"/>
        <v>20757.142857142859</v>
      </c>
      <c r="C84" s="9">
        <f t="shared" si="29"/>
        <v>6.392204976588935E-3</v>
      </c>
      <c r="D84" s="9">
        <f t="shared" si="30"/>
        <v>5.497959844550683E-3</v>
      </c>
      <c r="E84" s="6">
        <f>E83*0.15</f>
        <v>159484.01938991845</v>
      </c>
      <c r="F84" s="6"/>
      <c r="G84" s="6"/>
      <c r="I84" s="33"/>
      <c r="K84" s="33">
        <v>50000</v>
      </c>
      <c r="M84" s="6">
        <v>20000</v>
      </c>
      <c r="N84" s="6">
        <v>50000</v>
      </c>
      <c r="O84" s="20">
        <v>0</v>
      </c>
      <c r="R84" s="6">
        <v>-9700</v>
      </c>
      <c r="S84" s="6">
        <v>15000</v>
      </c>
      <c r="U84" s="6">
        <v>20000</v>
      </c>
      <c r="X84" s="2"/>
      <c r="Y84" s="2">
        <f>Y83*0.15</f>
        <v>70998.532867229558</v>
      </c>
      <c r="Z84" s="6">
        <v>50000</v>
      </c>
      <c r="AA84" s="6">
        <v>50000</v>
      </c>
    </row>
    <row r="85" spans="1:27">
      <c r="A85" s="11" t="s">
        <v>76</v>
      </c>
      <c r="B85" s="6">
        <f t="shared" si="28"/>
        <v>41858.375</v>
      </c>
      <c r="C85" s="9">
        <f t="shared" si="29"/>
        <v>1.2890372958764494E-2</v>
      </c>
      <c r="D85" s="9">
        <f t="shared" si="30"/>
        <v>3.9860208872992457E-2</v>
      </c>
      <c r="E85" s="6">
        <f>(E83-E84)*E$2</f>
        <v>307272.54402457632</v>
      </c>
      <c r="F85" s="6"/>
      <c r="G85" s="6"/>
      <c r="I85" s="33">
        <v>6600</v>
      </c>
      <c r="J85" s="33">
        <v>20000</v>
      </c>
      <c r="K85" s="33">
        <v>10000</v>
      </c>
      <c r="L85" s="6">
        <f>IF(AA85&lt;&gt;0,AA85*3/2,CHAR(20))</f>
        <v>225250.5</v>
      </c>
      <c r="M85" s="6">
        <v>145000</v>
      </c>
      <c r="N85" s="6">
        <v>13650</v>
      </c>
      <c r="O85" s="20">
        <v>-21000</v>
      </c>
      <c r="P85" s="6">
        <v>21000</v>
      </c>
      <c r="Q85" s="6">
        <v>-7600</v>
      </c>
      <c r="S85" s="6">
        <v>31500</v>
      </c>
      <c r="U85" s="6">
        <v>49500</v>
      </c>
      <c r="V85" s="6">
        <v>3900</v>
      </c>
      <c r="W85" s="6">
        <v>11100</v>
      </c>
      <c r="X85" s="2"/>
      <c r="Y85" s="2">
        <f>(Y83-Y84)*Y$2</f>
        <v>136790.50665752895</v>
      </c>
      <c r="Z85" s="6">
        <v>150167</v>
      </c>
      <c r="AA85" s="6">
        <v>150167</v>
      </c>
    </row>
    <row r="86" spans="1:27">
      <c r="A86" s="11" t="s">
        <v>25</v>
      </c>
      <c r="B86" s="6">
        <f t="shared" si="28"/>
        <v>205774.96428571429</v>
      </c>
      <c r="C86" s="9">
        <f t="shared" si="29"/>
        <v>6.3368824881981228E-2</v>
      </c>
      <c r="D86" s="9">
        <f t="shared" si="30"/>
        <v>5.8252259042975631E-2</v>
      </c>
      <c r="E86" s="6">
        <f>(E83-E84-E85)</f>
        <v>596470.23251829506</v>
      </c>
      <c r="F86" s="6"/>
      <c r="G86" s="6"/>
      <c r="I86" s="33">
        <f>I81-I84-I85</f>
        <v>920894</v>
      </c>
      <c r="J86" s="33">
        <f>J81-J84-J85</f>
        <v>736119</v>
      </c>
      <c r="K86" s="33">
        <f>K81-K84-K85</f>
        <v>701651</v>
      </c>
      <c r="L86" s="6">
        <f>IF(AA86&lt;&gt;0,AA86*3/2,CHAR(20))</f>
        <v>893104.5</v>
      </c>
      <c r="M86" s="6">
        <v>211905</v>
      </c>
      <c r="N86" s="6">
        <v>106188</v>
      </c>
      <c r="O86" s="20">
        <f t="shared" ref="O86:W86" si="31">O83-O84-O85</f>
        <v>-73534</v>
      </c>
      <c r="P86" s="6">
        <f t="shared" si="31"/>
        <v>68980</v>
      </c>
      <c r="Q86" s="6">
        <f t="shared" si="31"/>
        <v>144</v>
      </c>
      <c r="R86" s="6">
        <f t="shared" si="31"/>
        <v>-6003</v>
      </c>
      <c r="S86" s="6">
        <f t="shared" si="31"/>
        <v>76345</v>
      </c>
      <c r="T86" s="6">
        <f t="shared" si="31"/>
        <v>-57887</v>
      </c>
      <c r="U86" s="6">
        <f t="shared" si="31"/>
        <v>105716</v>
      </c>
      <c r="V86" s="6">
        <f t="shared" si="31"/>
        <v>45503</v>
      </c>
      <c r="W86" s="6">
        <f t="shared" si="31"/>
        <v>72618</v>
      </c>
      <c r="X86" s="2"/>
      <c r="Y86" s="2">
        <f>(Y83-Y84-Y85)</f>
        <v>265534.51292343857</v>
      </c>
      <c r="Z86" s="6">
        <v>595403</v>
      </c>
      <c r="AA86" s="6">
        <v>595403</v>
      </c>
    </row>
    <row r="87" spans="1:27" s="9" customFormat="1">
      <c r="A87" s="17" t="s">
        <v>77</v>
      </c>
      <c r="B87" s="9">
        <f>B86/B80</f>
        <v>6.3368824881981228E-2</v>
      </c>
      <c r="C87" s="9">
        <f>B86/B$12</f>
        <v>6.3368824881981228E-2</v>
      </c>
      <c r="D87" s="9">
        <f t="shared" si="30"/>
        <v>1.6013429053632221E-8</v>
      </c>
      <c r="E87" s="9">
        <f>E86/E80</f>
        <v>7.9529364335772679E-2</v>
      </c>
      <c r="H87"/>
      <c r="I87" s="38">
        <f t="shared" ref="I87:W87" si="32">I86/I80</f>
        <v>6.5692001873543251E-2</v>
      </c>
      <c r="J87" s="38">
        <f t="shared" si="32"/>
        <v>6.8729654619291328E-2</v>
      </c>
      <c r="K87" s="38">
        <f t="shared" si="32"/>
        <v>8.6026882918149333E-2</v>
      </c>
      <c r="L87" s="38">
        <f t="shared" si="32"/>
        <v>0.13520093155106977</v>
      </c>
      <c r="M87" s="9">
        <f t="shared" si="32"/>
        <v>5.8252259042975631E-2</v>
      </c>
      <c r="N87" s="9">
        <f t="shared" si="32"/>
        <v>3.9117768841644279E-2</v>
      </c>
      <c r="O87" s="34">
        <f t="shared" si="32"/>
        <v>-2.9212327066511733E-2</v>
      </c>
      <c r="P87" s="9">
        <f t="shared" si="32"/>
        <v>2.9416518368692433E-2</v>
      </c>
      <c r="Q87" s="9">
        <f t="shared" si="32"/>
        <v>8.4086216400549357E-5</v>
      </c>
      <c r="R87" s="9">
        <f t="shared" si="32"/>
        <v>-4.0629194136888504E-3</v>
      </c>
      <c r="S87" s="9">
        <f t="shared" si="32"/>
        <v>4.5257921840644928E-2</v>
      </c>
      <c r="T87" s="9">
        <f t="shared" si="32"/>
        <v>-5.5438927825099266E-2</v>
      </c>
      <c r="U87" s="9">
        <f t="shared" si="32"/>
        <v>9.1362732066835942E-2</v>
      </c>
      <c r="V87" s="9">
        <f t="shared" si="32"/>
        <v>5.513824245413225E-2</v>
      </c>
      <c r="W87" s="9">
        <f t="shared" si="32"/>
        <v>8.3331229530959172E-2</v>
      </c>
      <c r="Y87" s="9">
        <f>Y86/Y80</f>
        <v>6.1752212307776409E-2</v>
      </c>
      <c r="Z87" s="9">
        <f>Z86/Z80</f>
        <v>0.13520093155106977</v>
      </c>
      <c r="AA87" s="9">
        <f>AA86/AA80</f>
        <v>0.13520093155106977</v>
      </c>
    </row>
    <row r="88" spans="1:27">
      <c r="A88" s="2"/>
      <c r="C88" s="9"/>
      <c r="D88" s="2"/>
      <c r="F88" s="6"/>
      <c r="G88" s="6"/>
      <c r="I88" s="33"/>
      <c r="X88" s="2"/>
      <c r="Y88" s="2"/>
    </row>
    <row r="89" spans="1:27">
      <c r="A89" s="2"/>
      <c r="C89" s="19" t="s">
        <v>78</v>
      </c>
      <c r="D89" s="19" t="s">
        <v>7</v>
      </c>
      <c r="F89" s="6"/>
      <c r="G89" s="6"/>
      <c r="I89" s="33"/>
      <c r="X89" s="2"/>
      <c r="Y89" s="2"/>
    </row>
    <row r="90" spans="1:27">
      <c r="A90" s="10" t="s">
        <v>79</v>
      </c>
      <c r="B90"/>
      <c r="C90" s="18" t="s">
        <v>10</v>
      </c>
      <c r="D90" s="18" t="s">
        <v>10</v>
      </c>
      <c r="E90">
        <v>1989</v>
      </c>
      <c r="F90"/>
      <c r="G90"/>
      <c r="I90" s="42">
        <f t="shared" ref="I90:K91" si="33">I10</f>
        <v>1991</v>
      </c>
      <c r="J90" s="42">
        <f t="shared" si="33"/>
        <v>1990</v>
      </c>
      <c r="K90" s="42">
        <f t="shared" si="33"/>
        <v>1989</v>
      </c>
      <c r="L90"/>
      <c r="M90">
        <v>1988</v>
      </c>
      <c r="N90">
        <v>1987</v>
      </c>
      <c r="O90" s="18">
        <v>1986</v>
      </c>
      <c r="P90">
        <v>1985</v>
      </c>
      <c r="Q90">
        <v>1984</v>
      </c>
      <c r="R90">
        <v>1983</v>
      </c>
      <c r="S90">
        <v>1982</v>
      </c>
      <c r="T90">
        <v>1981</v>
      </c>
      <c r="U90">
        <v>1980</v>
      </c>
      <c r="V90">
        <v>1979</v>
      </c>
      <c r="W90">
        <v>1978</v>
      </c>
      <c r="Y90" s="18" t="s">
        <v>11</v>
      </c>
      <c r="Z90" s="18" t="s">
        <v>11</v>
      </c>
      <c r="AA90" s="18" t="s">
        <v>11</v>
      </c>
    </row>
    <row r="91" spans="1:27" s="18" customFormat="1">
      <c r="A91" s="19"/>
      <c r="B91" s="20"/>
      <c r="C91" s="19" t="s">
        <v>12</v>
      </c>
      <c r="D91" s="19" t="s">
        <v>12</v>
      </c>
      <c r="E91" s="20" t="s">
        <v>13</v>
      </c>
      <c r="F91" s="20"/>
      <c r="G91" s="20"/>
      <c r="H91"/>
      <c r="I91" s="40" t="str">
        <f t="shared" si="33"/>
        <v>Actual</v>
      </c>
      <c r="J91" s="40" t="str">
        <f t="shared" si="33"/>
        <v>Actual</v>
      </c>
      <c r="K91" s="40" t="str">
        <f t="shared" si="33"/>
        <v>Actual</v>
      </c>
      <c r="L91" s="20"/>
      <c r="M91" s="20" t="s">
        <v>14</v>
      </c>
      <c r="N91" s="20" t="s">
        <v>14</v>
      </c>
      <c r="O91" s="20"/>
      <c r="P91" s="20"/>
      <c r="Q91" s="20"/>
      <c r="R91" s="20"/>
      <c r="S91" s="20"/>
      <c r="T91" s="20"/>
      <c r="U91" s="20"/>
      <c r="V91" s="20"/>
      <c r="W91" s="20"/>
      <c r="X91" s="19"/>
      <c r="Y91" s="19" t="s">
        <v>13</v>
      </c>
      <c r="Z91" s="20" t="s">
        <v>14</v>
      </c>
      <c r="AA91" s="20" t="s">
        <v>14</v>
      </c>
    </row>
    <row r="92" spans="1:27">
      <c r="A92" s="2"/>
      <c r="C92" s="9"/>
      <c r="D92" s="2"/>
      <c r="F92" s="6"/>
      <c r="G92" s="6"/>
      <c r="I92" s="33"/>
      <c r="X92" s="2"/>
      <c r="Y92" s="2"/>
    </row>
    <row r="93" spans="1:27">
      <c r="A93" s="11" t="s">
        <v>4</v>
      </c>
      <c r="B93" s="6">
        <f>AVERAGE(J93:W93)</f>
        <v>571038.28571428568</v>
      </c>
      <c r="C93" s="9">
        <f>B93/B$12</f>
        <v>0.17585241846083755</v>
      </c>
      <c r="D93" s="2"/>
      <c r="E93" s="6">
        <f>-E49</f>
        <v>1318893.1384562815</v>
      </c>
      <c r="F93" s="6"/>
      <c r="G93" s="6"/>
      <c r="I93" s="33">
        <f t="shared" ref="I93:W93" si="34">-I49</f>
        <v>2956704</v>
      </c>
      <c r="J93" s="33">
        <f t="shared" si="34"/>
        <v>2021724</v>
      </c>
      <c r="K93" s="33">
        <f t="shared" si="34"/>
        <v>1293777</v>
      </c>
      <c r="L93" s="33">
        <f t="shared" si="34"/>
        <v>1232373</v>
      </c>
      <c r="M93" s="6">
        <f t="shared" si="34"/>
        <v>643226</v>
      </c>
      <c r="N93" s="6">
        <f t="shared" si="34"/>
        <v>513814</v>
      </c>
      <c r="O93" s="20">
        <f t="shared" si="34"/>
        <v>455701</v>
      </c>
      <c r="P93" s="6">
        <f t="shared" si="34"/>
        <v>387623</v>
      </c>
      <c r="Q93" s="6">
        <f t="shared" si="34"/>
        <v>345721</v>
      </c>
      <c r="R93" s="6">
        <f t="shared" si="34"/>
        <v>305777</v>
      </c>
      <c r="S93" s="6">
        <f t="shared" si="34"/>
        <v>291127</v>
      </c>
      <c r="T93" s="6">
        <f t="shared" si="34"/>
        <v>179377</v>
      </c>
      <c r="U93" s="6">
        <f t="shared" si="34"/>
        <v>144084</v>
      </c>
      <c r="V93" s="6">
        <f t="shared" si="34"/>
        <v>105825</v>
      </c>
      <c r="W93" s="6">
        <f t="shared" si="34"/>
        <v>74387</v>
      </c>
      <c r="X93" s="2"/>
      <c r="Y93" s="2">
        <f>-Y49</f>
        <v>756165.39938160148</v>
      </c>
      <c r="Z93" s="6">
        <f>-Z49</f>
        <v>821582</v>
      </c>
      <c r="AA93" s="6">
        <f>-AA49</f>
        <v>821582</v>
      </c>
    </row>
    <row r="94" spans="1:27">
      <c r="A94" s="2"/>
      <c r="C94" s="9"/>
      <c r="D94" s="2"/>
      <c r="F94" s="6"/>
      <c r="G94" s="6"/>
      <c r="I94" s="42"/>
      <c r="J94" s="42"/>
      <c r="K94" s="42"/>
      <c r="X94" s="2"/>
      <c r="Y94" s="2"/>
    </row>
    <row r="95" spans="1:27" s="3" customFormat="1">
      <c r="A95" s="12" t="s">
        <v>80</v>
      </c>
      <c r="B95" s="3">
        <f>B41/B64</f>
        <v>1.1045642035149388</v>
      </c>
      <c r="E95" s="3">
        <f>E41/E64</f>
        <v>1.1483644620976554</v>
      </c>
      <c r="H95"/>
      <c r="I95" s="8">
        <f t="shared" ref="I95:W95" si="35">I41/I64</f>
        <v>1.0711733702135833</v>
      </c>
      <c r="J95" s="8">
        <f t="shared" si="35"/>
        <v>1.2010385923025773</v>
      </c>
      <c r="K95" s="8">
        <f t="shared" si="35"/>
        <v>1.2040719395552426</v>
      </c>
      <c r="L95" s="8">
        <f t="shared" si="35"/>
        <v>1.099744812159327</v>
      </c>
      <c r="M95" s="3">
        <f t="shared" si="35"/>
        <v>0.94826495439971803</v>
      </c>
      <c r="N95" s="3">
        <f t="shared" si="35"/>
        <v>1.0727972690313232</v>
      </c>
      <c r="O95" s="50">
        <f t="shared" si="35"/>
        <v>1.0378965193184035</v>
      </c>
      <c r="P95" s="3">
        <f t="shared" si="35"/>
        <v>1.2616596208237141</v>
      </c>
      <c r="Q95" s="3">
        <f t="shared" si="35"/>
        <v>1.1859143697353336</v>
      </c>
      <c r="R95" s="3">
        <f t="shared" si="35"/>
        <v>0.732378821838225</v>
      </c>
      <c r="S95" s="3">
        <f t="shared" si="35"/>
        <v>0.70161989862569896</v>
      </c>
      <c r="T95" s="3">
        <f t="shared" si="35"/>
        <v>0.58572203920380683</v>
      </c>
      <c r="U95" s="3">
        <f t="shared" si="35"/>
        <v>1.5816116156282221</v>
      </c>
      <c r="V95" s="3">
        <f t="shared" si="35"/>
        <v>1.3053833490232492</v>
      </c>
      <c r="W95" s="3">
        <f t="shared" si="35"/>
        <v>1.156508928523942</v>
      </c>
      <c r="Y95" s="3">
        <f>Y41/Y64</f>
        <v>1.1483644620976556</v>
      </c>
      <c r="Z95" s="3">
        <f>Z41/Z64</f>
        <v>1.099744812159327</v>
      </c>
      <c r="AA95" s="3">
        <f>AA41/AA64</f>
        <v>1.099744812159327</v>
      </c>
    </row>
    <row r="96" spans="1:27" s="3" customFormat="1">
      <c r="B96" s="3">
        <f>B41/(B64-B59)</f>
        <v>1.282036442295756</v>
      </c>
      <c r="E96" s="3">
        <f>E41/(E64-E59)</f>
        <v>1.3476812330753329</v>
      </c>
      <c r="H96"/>
      <c r="I96" s="8">
        <f t="shared" ref="I96:W96" si="36">I41/(I64-I59)</f>
        <v>1.1558868270624192</v>
      </c>
      <c r="J96" s="8">
        <f t="shared" si="36"/>
        <v>1.3571429887709399</v>
      </c>
      <c r="K96" s="8">
        <f t="shared" si="36"/>
        <v>1.3403391309286221</v>
      </c>
      <c r="L96" s="8">
        <f t="shared" si="36"/>
        <v>1.3075822013456899</v>
      </c>
      <c r="M96" s="3">
        <f t="shared" si="36"/>
        <v>1.0845834779368608</v>
      </c>
      <c r="N96" s="3">
        <f t="shared" si="36"/>
        <v>1.2697346498217958</v>
      </c>
      <c r="O96" s="50">
        <f t="shared" si="36"/>
        <v>1.3444752293314575</v>
      </c>
      <c r="P96" s="3">
        <f t="shared" si="36"/>
        <v>1.521412267191157</v>
      </c>
      <c r="Q96" s="3">
        <f t="shared" si="36"/>
        <v>1.4782152060140055</v>
      </c>
      <c r="R96" s="3">
        <f t="shared" si="36"/>
        <v>0.84942078276332367</v>
      </c>
      <c r="S96" s="3">
        <f t="shared" si="36"/>
        <v>0.78732368350841597</v>
      </c>
      <c r="T96" s="3">
        <f t="shared" si="36"/>
        <v>0.67424954231525513</v>
      </c>
      <c r="U96" s="3">
        <f t="shared" si="36"/>
        <v>2.0111245669867914</v>
      </c>
      <c r="V96" s="3">
        <f t="shared" si="36"/>
        <v>1.5691993476056836</v>
      </c>
      <c r="W96" s="3">
        <f t="shared" si="36"/>
        <v>1.4651769635047225</v>
      </c>
      <c r="Y96" s="3">
        <f>Y41/(Y64-Y59)</f>
        <v>1.3476812330753332</v>
      </c>
      <c r="Z96" s="3">
        <f>Z41/(Z64-Z59)</f>
        <v>1.3075822013456899</v>
      </c>
      <c r="AA96" s="3">
        <f>AA41/(AA64-AA59)</f>
        <v>1.3075822013456899</v>
      </c>
    </row>
    <row r="97" spans="1:27">
      <c r="A97" s="2"/>
      <c r="C97" s="9"/>
      <c r="D97" s="2"/>
      <c r="F97" s="6"/>
      <c r="G97" s="6"/>
      <c r="I97" s="33"/>
      <c r="L97" s="33"/>
      <c r="X97" s="2"/>
      <c r="Y97" s="2"/>
    </row>
    <row r="98" spans="1:27">
      <c r="A98" s="11" t="s">
        <v>55</v>
      </c>
      <c r="B98" s="6">
        <f>AVERAGE(J98:W98)</f>
        <v>610145.5</v>
      </c>
      <c r="C98" s="9">
        <f>B98/B$12</f>
        <v>0.18789556580043637</v>
      </c>
      <c r="D98" s="2"/>
      <c r="F98" s="6"/>
      <c r="G98" s="6"/>
      <c r="I98" s="33"/>
      <c r="L98" s="33"/>
      <c r="S98" s="6">
        <v>756602</v>
      </c>
      <c r="U98" s="6">
        <v>463689</v>
      </c>
      <c r="X98" s="2"/>
      <c r="Y98" s="2"/>
    </row>
    <row r="99" spans="1:27">
      <c r="A99" s="11" t="s">
        <v>81</v>
      </c>
      <c r="C99" s="9"/>
      <c r="D99" s="2"/>
      <c r="F99" s="6"/>
      <c r="G99" s="6"/>
      <c r="I99" s="33"/>
      <c r="L99" s="33"/>
      <c r="X99" s="2"/>
      <c r="Y99" s="2"/>
    </row>
    <row r="100" spans="1:27">
      <c r="A100" s="11" t="s">
        <v>82</v>
      </c>
      <c r="B100" s="6">
        <f>AVERAGE(J100:W100)</f>
        <v>276281.85714285716</v>
      </c>
      <c r="C100" s="9">
        <f>B100/B$12</f>
        <v>8.5081568032956856E-2</v>
      </c>
      <c r="D100" s="2"/>
      <c r="E100" s="6">
        <f>E43-Y43</f>
        <v>531790.10969294817</v>
      </c>
      <c r="F100" s="6"/>
      <c r="G100" s="6"/>
      <c r="I100" s="33">
        <f t="shared" ref="I100:W100" si="37">I43-J43</f>
        <v>1290145</v>
      </c>
      <c r="J100" s="33">
        <f t="shared" si="37"/>
        <v>979451</v>
      </c>
      <c r="K100" s="33">
        <f t="shared" si="37"/>
        <v>684825.5</v>
      </c>
      <c r="L100" s="33">
        <f t="shared" si="37"/>
        <v>1295010.5</v>
      </c>
      <c r="M100" s="6">
        <f t="shared" si="37"/>
        <v>353012</v>
      </c>
      <c r="N100" s="6">
        <f t="shared" si="37"/>
        <v>109180</v>
      </c>
      <c r="O100" s="20">
        <f t="shared" si="37"/>
        <v>99687</v>
      </c>
      <c r="P100" s="6">
        <f t="shared" si="37"/>
        <v>62888</v>
      </c>
      <c r="Q100" s="6">
        <f t="shared" si="37"/>
        <v>52359</v>
      </c>
      <c r="R100" s="6">
        <f t="shared" si="37"/>
        <v>7365</v>
      </c>
      <c r="S100" s="6">
        <f t="shared" si="37"/>
        <v>65513</v>
      </c>
      <c r="T100" s="6">
        <f t="shared" si="37"/>
        <v>19527</v>
      </c>
      <c r="U100" s="6">
        <f t="shared" si="37"/>
        <v>44100</v>
      </c>
      <c r="V100" s="6">
        <f t="shared" si="37"/>
        <v>20171</v>
      </c>
      <c r="W100" s="6">
        <f t="shared" si="37"/>
        <v>74857</v>
      </c>
      <c r="X100" s="2"/>
      <c r="Y100" s="2">
        <f>Y43-M43</f>
        <v>432964.90070314426</v>
      </c>
      <c r="Z100" s="6">
        <f>Z43-$M$43</f>
        <v>560454</v>
      </c>
      <c r="AA100" s="6">
        <f>AA43-$M$43</f>
        <v>560454</v>
      </c>
    </row>
    <row r="101" spans="1:27">
      <c r="A101" s="2"/>
      <c r="C101" s="2"/>
      <c r="D101" s="2"/>
      <c r="F101" s="6"/>
      <c r="G101" s="6"/>
      <c r="I101" s="33"/>
      <c r="L101" s="33"/>
      <c r="X101" s="2"/>
      <c r="Y101" s="2"/>
    </row>
    <row r="102" spans="1:27" s="5" customFormat="1">
      <c r="A102" s="5" t="s">
        <v>83</v>
      </c>
      <c r="H102"/>
      <c r="I102" s="43">
        <f t="shared" ref="I102:W102" si="38">(I64+I66)/I70</f>
        <v>2.3009482325899064</v>
      </c>
      <c r="J102" s="43">
        <f t="shared" si="38"/>
        <v>1.9282947586019736</v>
      </c>
      <c r="K102" s="43">
        <f t="shared" si="38"/>
        <v>1.3193741342531753</v>
      </c>
      <c r="L102" s="43">
        <f t="shared" si="38"/>
        <v>1.3448034389400729</v>
      </c>
      <c r="M102" s="43">
        <f t="shared" si="38"/>
        <v>2.0507024089017896</v>
      </c>
      <c r="N102" s="43">
        <f t="shared" si="38"/>
        <v>1.8422942486544449</v>
      </c>
      <c r="O102" s="51">
        <f t="shared" si="38"/>
        <v>1.796160507673306</v>
      </c>
      <c r="P102" s="43">
        <f t="shared" si="38"/>
        <v>1.4147492625368732</v>
      </c>
      <c r="Q102" s="43">
        <f t="shared" si="38"/>
        <v>1.5623159624734644</v>
      </c>
      <c r="R102" s="43">
        <f t="shared" si="38"/>
        <v>1.6443271658879952</v>
      </c>
      <c r="S102" s="43">
        <f t="shared" si="38"/>
        <v>1.3645477946269502</v>
      </c>
      <c r="T102" s="43">
        <f t="shared" si="38"/>
        <v>1.0840402249995478</v>
      </c>
      <c r="U102" s="43">
        <f t="shared" si="38"/>
        <v>0.81003935468367172</v>
      </c>
      <c r="V102" s="43">
        <f t="shared" si="38"/>
        <v>0.93440185332946935</v>
      </c>
      <c r="W102" s="43">
        <f t="shared" si="38"/>
        <v>1.2367668415559159</v>
      </c>
    </row>
    <row r="103" spans="1:27" s="9" customFormat="1">
      <c r="A103" s="17" t="s">
        <v>84</v>
      </c>
      <c r="B103" s="9">
        <f>B66/B70</f>
        <v>1.1644594316922139</v>
      </c>
      <c r="C103" s="9">
        <f>C66/C70</f>
        <v>1.1644594316922139</v>
      </c>
      <c r="E103" s="9">
        <f>E66/E70</f>
        <v>0.44765494903962044</v>
      </c>
      <c r="H103"/>
      <c r="I103" s="38">
        <f t="shared" ref="I103:W103" si="39">I66/I70</f>
        <v>1.2327380250320237</v>
      </c>
      <c r="J103" s="38">
        <f t="shared" si="39"/>
        <v>1.1320825031147399</v>
      </c>
      <c r="K103" s="38">
        <f t="shared" si="39"/>
        <v>0.39385708883424253</v>
      </c>
      <c r="L103" s="38">
        <f t="shared" si="39"/>
        <v>9.1089577762681007E-2</v>
      </c>
      <c r="M103" s="9">
        <f t="shared" si="39"/>
        <v>0.11223379527417358</v>
      </c>
      <c r="N103" s="9">
        <f t="shared" si="39"/>
        <v>0.1576670859711711</v>
      </c>
      <c r="O103" s="34">
        <f t="shared" si="39"/>
        <v>0.19486009171055807</v>
      </c>
      <c r="P103" s="9">
        <f t="shared" si="39"/>
        <v>8.5202902017061308E-2</v>
      </c>
      <c r="Q103" s="9">
        <f t="shared" si="39"/>
        <v>0.11972539889063891</v>
      </c>
      <c r="R103" s="9">
        <f t="shared" si="39"/>
        <v>2.6463363448081301E-2</v>
      </c>
      <c r="S103" s="9">
        <f t="shared" si="39"/>
        <v>0.13149764337099429</v>
      </c>
      <c r="T103" s="9">
        <f t="shared" si="39"/>
        <v>9.3192135867894155E-3</v>
      </c>
      <c r="U103" s="9">
        <f t="shared" si="39"/>
        <v>0.16803829012123023</v>
      </c>
      <c r="V103" s="9">
        <f t="shared" si="39"/>
        <v>5.2461772115146042E-2</v>
      </c>
      <c r="W103" s="9">
        <f t="shared" si="39"/>
        <v>0.12800134664900442</v>
      </c>
      <c r="Y103" s="9">
        <f>Y66/Y70</f>
        <v>0.35672318591652435</v>
      </c>
      <c r="Z103" s="9">
        <f>Z66/Z70</f>
        <v>9.1089577762681007E-2</v>
      </c>
      <c r="AA103" s="9">
        <f>AA66/AA70</f>
        <v>9.1089577762681007E-2</v>
      </c>
    </row>
    <row r="104" spans="1:27" s="9" customFormat="1">
      <c r="A104" s="17" t="s">
        <v>85</v>
      </c>
      <c r="B104" s="9">
        <v>0.3</v>
      </c>
      <c r="C104" s="9">
        <v>0.3</v>
      </c>
      <c r="E104" s="9">
        <v>0.3</v>
      </c>
      <c r="H104"/>
      <c r="I104" s="38"/>
      <c r="J104" s="38">
        <v>0.3</v>
      </c>
      <c r="K104" s="38">
        <v>0.3</v>
      </c>
      <c r="L104" s="38">
        <v>0.3</v>
      </c>
      <c r="M104" s="9">
        <v>0.3</v>
      </c>
      <c r="N104" s="9">
        <v>0.3</v>
      </c>
      <c r="O104" s="34">
        <v>0.3</v>
      </c>
      <c r="P104" s="9">
        <v>0.3</v>
      </c>
      <c r="Q104" s="9">
        <v>0.3</v>
      </c>
      <c r="R104" s="9">
        <v>0.3</v>
      </c>
      <c r="S104" s="9">
        <v>0.3</v>
      </c>
      <c r="T104" s="9">
        <v>0.3</v>
      </c>
      <c r="U104" s="9">
        <v>0.3</v>
      </c>
      <c r="V104" s="9">
        <v>0.3</v>
      </c>
      <c r="W104" s="9">
        <v>0.3</v>
      </c>
      <c r="Y104" s="9">
        <v>0.3</v>
      </c>
      <c r="Z104" s="9">
        <v>0.3</v>
      </c>
      <c r="AA104" s="9">
        <v>0.3</v>
      </c>
    </row>
    <row r="105" spans="1:27" s="9" customFormat="1">
      <c r="A105" s="17" t="s">
        <v>86</v>
      </c>
      <c r="B105" s="9">
        <f>B61/B70</f>
        <v>0.17522327456901002</v>
      </c>
      <c r="C105" s="9">
        <f>C61/C70</f>
        <v>0.17522327456901002</v>
      </c>
      <c r="E105" s="9">
        <f>E61/E70</f>
        <v>0</v>
      </c>
      <c r="H105"/>
      <c r="I105" s="38">
        <f t="shared" ref="I105:W105" si="40">I61/I70</f>
        <v>0</v>
      </c>
      <c r="J105" s="38">
        <f t="shared" si="40"/>
        <v>7.0153876917942917E-3</v>
      </c>
      <c r="K105" s="38">
        <f t="shared" si="40"/>
        <v>9.0303008777079721E-3</v>
      </c>
      <c r="L105" s="38">
        <f t="shared" si="40"/>
        <v>0.12563626749840201</v>
      </c>
      <c r="M105" s="9">
        <f t="shared" si="40"/>
        <v>0.22494413887218007</v>
      </c>
      <c r="N105" s="9">
        <f t="shared" si="40"/>
        <v>6.5666694162044001E-2</v>
      </c>
      <c r="O105" s="34">
        <f t="shared" si="40"/>
        <v>5.1374238702991237E-2</v>
      </c>
      <c r="P105" s="9">
        <f t="shared" si="40"/>
        <v>0.12224613994525499</v>
      </c>
      <c r="Q105" s="9">
        <f t="shared" si="40"/>
        <v>9.4073135657056772E-2</v>
      </c>
      <c r="R105" s="9">
        <f t="shared" si="40"/>
        <v>8.8675662100142438E-2</v>
      </c>
      <c r="S105" s="9">
        <f t="shared" si="40"/>
        <v>0.12266390894359232</v>
      </c>
      <c r="T105" s="9">
        <f t="shared" si="40"/>
        <v>0.15645065021975438</v>
      </c>
      <c r="U105" s="9">
        <f t="shared" si="40"/>
        <v>0.27088042536995438</v>
      </c>
      <c r="V105" s="9">
        <f t="shared" si="40"/>
        <v>0.1827241420634389</v>
      </c>
      <c r="W105" s="9">
        <f t="shared" si="40"/>
        <v>0.17690850774457201</v>
      </c>
      <c r="Y105" s="9">
        <f>Y61/Y70</f>
        <v>0</v>
      </c>
      <c r="Z105" s="9">
        <f>Z61/Z70</f>
        <v>0.12563626749840201</v>
      </c>
      <c r="AA105" s="9">
        <f>AA61/AA70</f>
        <v>0.12563626749840201</v>
      </c>
    </row>
    <row r="106" spans="1:27" s="9" customFormat="1">
      <c r="A106" s="17" t="s">
        <v>87</v>
      </c>
      <c r="B106" s="9">
        <v>3.5000000000000003E-2</v>
      </c>
      <c r="C106" s="9">
        <v>3.5000000000000003E-2</v>
      </c>
      <c r="E106" s="9">
        <v>3.5000000000000003E-2</v>
      </c>
      <c r="H106"/>
      <c r="I106" s="38"/>
      <c r="J106" s="38">
        <v>3.5000000000000003E-2</v>
      </c>
      <c r="K106" s="38">
        <v>3.5000000000000003E-2</v>
      </c>
      <c r="L106" s="38">
        <v>3.5000000000000003E-2</v>
      </c>
      <c r="M106" s="9">
        <v>3.5000000000000003E-2</v>
      </c>
      <c r="N106" s="9">
        <v>3.5000000000000003E-2</v>
      </c>
      <c r="O106" s="34">
        <v>3.5000000000000003E-2</v>
      </c>
      <c r="P106" s="9">
        <v>3.5000000000000003E-2</v>
      </c>
      <c r="Q106" s="9">
        <v>3.5000000000000003E-2</v>
      </c>
      <c r="R106" s="9">
        <v>3.5000000000000003E-2</v>
      </c>
      <c r="S106" s="9">
        <v>3.5000000000000003E-2</v>
      </c>
      <c r="T106" s="9">
        <v>3.5000000000000003E-2</v>
      </c>
      <c r="U106" s="9">
        <v>3.5000000000000003E-2</v>
      </c>
      <c r="V106" s="9">
        <v>3.5000000000000003E-2</v>
      </c>
      <c r="W106" s="9">
        <v>3.5000000000000003E-2</v>
      </c>
      <c r="Y106" s="9">
        <v>3.5000000000000003E-2</v>
      </c>
      <c r="Z106" s="9">
        <v>3.5000000000000003E-2</v>
      </c>
      <c r="AA106" s="9">
        <v>3.5000000000000003E-2</v>
      </c>
    </row>
    <row r="107" spans="1:27" s="9" customFormat="1">
      <c r="H107"/>
      <c r="I107" s="38"/>
      <c r="J107" s="38"/>
      <c r="K107" s="38"/>
      <c r="O107" s="34"/>
    </row>
    <row r="108" spans="1:27" s="9" customFormat="1">
      <c r="A108" s="17" t="s">
        <v>19</v>
      </c>
      <c r="B108" s="9">
        <f>B15/B12</f>
        <v>0.27952935290186859</v>
      </c>
      <c r="C108" s="9">
        <f>C15/C12</f>
        <v>0.27952935290186859</v>
      </c>
      <c r="E108" s="9">
        <f>E15/E12</f>
        <v>0.27952935290186853</v>
      </c>
      <c r="H108"/>
      <c r="I108" s="38">
        <f>I15/I12</f>
        <v>0.220257465246643</v>
      </c>
      <c r="J108" s="38">
        <f>J15/J12</f>
        <v>0.21964117902721245</v>
      </c>
      <c r="K108" s="38">
        <f>K15/K12</f>
        <v>0.26423524337303367</v>
      </c>
      <c r="L108" s="9">
        <f t="shared" ref="L108:L118" si="41">AA108</f>
        <v>0.29789129391226471</v>
      </c>
      <c r="M108" s="9">
        <f t="shared" ref="M108:W108" si="42">M15/M12</f>
        <v>0.2805523690296623</v>
      </c>
      <c r="N108" s="9">
        <f t="shared" si="42"/>
        <v>0.27728459587736115</v>
      </c>
      <c r="O108" s="34">
        <f t="shared" si="42"/>
        <v>0.19328903852456575</v>
      </c>
      <c r="P108" s="9">
        <f t="shared" si="42"/>
        <v>0.28223908405371395</v>
      </c>
      <c r="Q108" s="9">
        <f t="shared" si="42"/>
        <v>0.37012007978847644</v>
      </c>
      <c r="R108" s="9">
        <f t="shared" si="42"/>
        <v>0.35984755422809606</v>
      </c>
      <c r="S108" s="9">
        <f t="shared" si="42"/>
        <v>0.38242277046417456</v>
      </c>
      <c r="T108" s="9">
        <f t="shared" si="42"/>
        <v>0.2626805521769694</v>
      </c>
      <c r="U108" s="9">
        <f t="shared" si="42"/>
        <v>0.40706696557434002</v>
      </c>
      <c r="V108" s="9">
        <f t="shared" si="42"/>
        <v>0.41696061692596087</v>
      </c>
      <c r="W108" s="9">
        <f t="shared" si="42"/>
        <v>0.47139440786378378</v>
      </c>
      <c r="Y108" s="9">
        <f>Y15/Y12</f>
        <v>0.27952935290186848</v>
      </c>
      <c r="Z108" s="9">
        <f>Z15/Z12</f>
        <v>0.29789129391226471</v>
      </c>
      <c r="AA108" s="9">
        <f>AA15/AA12</f>
        <v>0.29789129391226471</v>
      </c>
    </row>
    <row r="109" spans="1:27" s="9" customFormat="1">
      <c r="A109" s="17" t="s">
        <v>88</v>
      </c>
      <c r="B109" s="9">
        <f>SUM(B17:B18)/B12</f>
        <v>0.21183836581630028</v>
      </c>
      <c r="C109" s="9">
        <f>SUM(C17:C18)/C12</f>
        <v>0.21183836581630031</v>
      </c>
      <c r="E109" s="9">
        <f>SUM(E17:E18)/E12</f>
        <v>0.18596539485978303</v>
      </c>
      <c r="H109"/>
      <c r="I109" s="38">
        <f>SUM(I17:I18)/I12</f>
        <v>0.15409465216967635</v>
      </c>
      <c r="J109" s="38">
        <f>SUM(J17:J18)/J12</f>
        <v>0.14904417267214765</v>
      </c>
      <c r="K109" s="38">
        <f>SUM(K17:K18)/K12</f>
        <v>0.17698229674346444</v>
      </c>
      <c r="L109" s="9">
        <f t="shared" si="41"/>
        <v>0.16224552310961485</v>
      </c>
      <c r="M109" s="9">
        <f t="shared" ref="M109:W109" si="43">SUM(M17:M18)/M12</f>
        <v>0.18243990111369424</v>
      </c>
      <c r="N109" s="9">
        <f t="shared" si="43"/>
        <v>0.23313841003296285</v>
      </c>
      <c r="O109" s="34">
        <f t="shared" si="43"/>
        <v>0.23918640566496838</v>
      </c>
      <c r="P109" s="9">
        <f t="shared" si="43"/>
        <v>0.24386711648608644</v>
      </c>
      <c r="Q109" s="9">
        <f t="shared" si="43"/>
        <v>0.37447387721543823</v>
      </c>
      <c r="R109" s="9">
        <f t="shared" si="43"/>
        <v>0.37047557747533177</v>
      </c>
      <c r="S109" s="9">
        <f t="shared" si="43"/>
        <v>0.31671297484656646</v>
      </c>
      <c r="T109" s="9">
        <f t="shared" si="43"/>
        <v>0.3244556858253253</v>
      </c>
      <c r="U109" s="9">
        <f t="shared" si="43"/>
        <v>0.28181525915606404</v>
      </c>
      <c r="V109" s="9">
        <f t="shared" si="43"/>
        <v>0.36969874692972943</v>
      </c>
      <c r="W109" s="9">
        <f t="shared" si="43"/>
        <v>0.40802214271124282</v>
      </c>
      <c r="Y109" s="9">
        <f>SUM(Y17:Y18)/Y12</f>
        <v>0.18596539485978303</v>
      </c>
      <c r="Z109" s="9">
        <f>SUM(Z17:Z18)/Z12</f>
        <v>0.16224552310961485</v>
      </c>
      <c r="AA109" s="9">
        <f>SUM(AA17:AA18)/AA12</f>
        <v>0.16224552310961485</v>
      </c>
    </row>
    <row r="110" spans="1:27" s="9" customFormat="1">
      <c r="A110" s="17" t="s">
        <v>89</v>
      </c>
      <c r="B110" s="9">
        <f>(B108-B109)*(1-B2)</f>
        <v>5.0741480780301329E-2</v>
      </c>
      <c r="C110" s="9">
        <f>(C108-C109)*(1-C2)</f>
        <v>6.7690987085568283E-2</v>
      </c>
      <c r="E110" s="9">
        <f>(E108-E109)*(1-E2)</f>
        <v>6.1752212307776423E-2</v>
      </c>
      <c r="H110"/>
      <c r="I110" s="38">
        <f>(I108-I109)*(1-I2)</f>
        <v>6.5692001873543251E-2</v>
      </c>
      <c r="J110" s="38">
        <f>(J108-J109)*(1-J2)</f>
        <v>6.8729654619291342E-2</v>
      </c>
      <c r="K110" s="38">
        <f>(K108-K109)*(1-K2)</f>
        <v>8.6026882918149319E-2</v>
      </c>
      <c r="L110" s="9">
        <f t="shared" si="41"/>
        <v>0.14087779795714556</v>
      </c>
      <c r="M110" s="9">
        <f t="shared" ref="M110:W110" si="44">(M108-M109)*(1-M2)</f>
        <v>5.825225904297561E-2</v>
      </c>
      <c r="N110" s="9">
        <f t="shared" si="44"/>
        <v>3.9117768841644279E-2</v>
      </c>
      <c r="O110" s="34">
        <f t="shared" si="44"/>
        <v>-4.5897367140402628E-2</v>
      </c>
      <c r="P110" s="9">
        <f t="shared" si="44"/>
        <v>2.9416518368692437E-2</v>
      </c>
      <c r="Q110" s="9">
        <f t="shared" si="44"/>
        <v>-4.3537974269617918E-3</v>
      </c>
      <c r="R110" s="9">
        <f t="shared" si="44"/>
        <v>-4.0629194136888504E-3</v>
      </c>
      <c r="S110" s="9">
        <f t="shared" si="44"/>
        <v>4.7036345647337392E-2</v>
      </c>
      <c r="T110" s="9">
        <f t="shared" si="44"/>
        <v>-3.6635260180930475E-2</v>
      </c>
      <c r="U110" s="9">
        <f t="shared" si="44"/>
        <v>8.2472418161925215E-2</v>
      </c>
      <c r="V110" s="9">
        <f t="shared" si="44"/>
        <v>4.2536046521490969E-2</v>
      </c>
      <c r="W110" s="9">
        <f t="shared" si="44"/>
        <v>5.0634698050807968E-2</v>
      </c>
      <c r="Y110" s="9">
        <f>(Y108-Y109)*(1-Y2)</f>
        <v>6.1752212307776388E-2</v>
      </c>
      <c r="Z110" s="9">
        <f>(Z108-Z109)*(1-Z2)</f>
        <v>0.14087779795714556</v>
      </c>
      <c r="AA110" s="9">
        <f>(AA108-AA109)*(1-AA2)</f>
        <v>0.14087779795714556</v>
      </c>
    </row>
    <row r="111" spans="1:27" s="9" customFormat="1">
      <c r="H111"/>
      <c r="I111" s="38"/>
      <c r="J111" s="38"/>
      <c r="K111" s="38"/>
      <c r="L111" s="9">
        <f t="shared" si="41"/>
        <v>0</v>
      </c>
      <c r="O111" s="34"/>
    </row>
    <row r="112" spans="1:27" s="9" customFormat="1">
      <c r="A112" s="17" t="s">
        <v>90</v>
      </c>
      <c r="B112" s="9">
        <f>B36/B$12</f>
        <v>0.25240164665487841</v>
      </c>
      <c r="C112" s="9">
        <f>C36/C$12</f>
        <v>0.25240164665487841</v>
      </c>
      <c r="E112" s="9">
        <f>E36/E$12</f>
        <v>0.25240164665487841</v>
      </c>
      <c r="H112"/>
      <c r="I112" s="38">
        <f>I36/I12</f>
        <v>0.27897011903961932</v>
      </c>
      <c r="J112" s="38">
        <f>J36/J12</f>
        <v>0.23461743331570242</v>
      </c>
      <c r="K112" s="38">
        <f>K36/K12</f>
        <v>0.30747336100722605</v>
      </c>
      <c r="L112" s="9">
        <f t="shared" si="41"/>
        <v>0.35035257881874854</v>
      </c>
      <c r="M112" s="9">
        <f t="shared" ref="M112:W112" si="45">M36/M12</f>
        <v>0.23403358098893454</v>
      </c>
      <c r="N112" s="9">
        <f t="shared" si="45"/>
        <v>0.24769466420489122</v>
      </c>
      <c r="O112" s="34">
        <f t="shared" si="45"/>
        <v>0.17361975985460179</v>
      </c>
      <c r="P112" s="9">
        <f t="shared" si="45"/>
        <v>0.25484436495417156</v>
      </c>
      <c r="Q112" s="9">
        <f t="shared" si="45"/>
        <v>0.26487917277848888</v>
      </c>
      <c r="R112" s="9">
        <f t="shared" si="45"/>
        <v>0.19736867931092128</v>
      </c>
      <c r="S112" s="9">
        <f t="shared" si="45"/>
        <v>0.13705185943101109</v>
      </c>
      <c r="T112" s="9">
        <f t="shared" si="45"/>
        <v>9.2978265741391633E-2</v>
      </c>
      <c r="U112" s="9">
        <f t="shared" si="45"/>
        <v>0.20048794315453608</v>
      </c>
      <c r="V112" s="9">
        <f t="shared" si="45"/>
        <v>0.18807565679858176</v>
      </c>
      <c r="W112" s="9">
        <f t="shared" si="45"/>
        <v>0.1383173559105754</v>
      </c>
      <c r="Y112" s="9">
        <f>Y36/Y12</f>
        <v>0.25240164665487841</v>
      </c>
      <c r="Z112" s="9">
        <f>Z36/Z12</f>
        <v>0.35035257881874854</v>
      </c>
      <c r="AA112" s="9">
        <f>AA36/AA12</f>
        <v>0.35035257881874854</v>
      </c>
    </row>
    <row r="113" spans="1:27" s="9" customFormat="1">
      <c r="A113" s="17" t="s">
        <v>50</v>
      </c>
      <c r="H113"/>
      <c r="I113" s="38">
        <f>(I37+I38)/I12</f>
        <v>4.3138433188822829E-3</v>
      </c>
      <c r="J113" s="38">
        <f>(J37+J38)/J12</f>
        <v>5.9088610975079727E-3</v>
      </c>
      <c r="K113" s="38">
        <f>(K37+K38)/K12</f>
        <v>2.7060452174748899E-3</v>
      </c>
      <c r="L113" s="9">
        <f t="shared" si="41"/>
        <v>2.3600096097994523E-2</v>
      </c>
      <c r="M113" s="9">
        <f t="shared" ref="M113:W113" si="46">(M37+M38)/M12</f>
        <v>3.6924298316002389E-3</v>
      </c>
      <c r="N113" s="9">
        <f t="shared" si="46"/>
        <v>2.5101562971989689E-3</v>
      </c>
      <c r="O113" s="34">
        <f t="shared" si="46"/>
        <v>1.2408108134950193E-2</v>
      </c>
      <c r="P113" s="9">
        <f t="shared" si="46"/>
        <v>1.2769191207795846E-2</v>
      </c>
      <c r="Q113" s="9">
        <f t="shared" si="46"/>
        <v>1.8164958470752012E-2</v>
      </c>
      <c r="R113" s="9">
        <f t="shared" si="46"/>
        <v>2.8185276705590286E-2</v>
      </c>
      <c r="S113" s="9">
        <f t="shared" si="46"/>
        <v>2.0165547544085644E-2</v>
      </c>
      <c r="T113" s="9">
        <f t="shared" si="46"/>
        <v>2.9649727340115194E-2</v>
      </c>
      <c r="U113" s="9">
        <f t="shared" si="46"/>
        <v>3.4690113749695363E-2</v>
      </c>
      <c r="V113" s="9">
        <f t="shared" si="46"/>
        <v>4.0350050227021289E-2</v>
      </c>
      <c r="W113" s="9">
        <f t="shared" si="46"/>
        <v>3.1662608240632148E-2</v>
      </c>
      <c r="Y113" s="9">
        <f>(Y37+Y38)/Y12</f>
        <v>1.2349658627438738E-2</v>
      </c>
      <c r="Z113" s="9">
        <f>(Z37+Z38)/Z12</f>
        <v>2.3600096097994523E-2</v>
      </c>
      <c r="AA113" s="9">
        <f>(AA37+AA38)/AA12</f>
        <v>2.3600096097994523E-2</v>
      </c>
    </row>
    <row r="114" spans="1:27" s="9" customFormat="1">
      <c r="A114" s="17" t="s">
        <v>91</v>
      </c>
      <c r="B114" s="9">
        <f>B50/B$12</f>
        <v>0.29173900332326469</v>
      </c>
      <c r="C114" s="9">
        <f>C50/C$12</f>
        <v>0.29173900332326469</v>
      </c>
      <c r="E114" s="9">
        <f>E50/E$12</f>
        <v>0.29486780658986111</v>
      </c>
      <c r="H114"/>
      <c r="I114" s="38">
        <f>I50/I$12</f>
        <v>0.55255515660250654</v>
      </c>
      <c r="J114" s="38">
        <f>J50/J$12</f>
        <v>0.55651273930696044</v>
      </c>
      <c r="K114" s="38">
        <f>K50/K$12</f>
        <v>0.35071773156634667</v>
      </c>
      <c r="L114" s="9">
        <f t="shared" si="41"/>
        <v>0.25319777884654249</v>
      </c>
      <c r="M114" s="9">
        <f t="shared" ref="M114:W114" si="47">M50/M$12</f>
        <v>0.19177818590966358</v>
      </c>
      <c r="N114" s="9">
        <f t="shared" si="47"/>
        <v>0.14261548413525227</v>
      </c>
      <c r="O114" s="34">
        <f t="shared" si="47"/>
        <v>0.12060820943697921</v>
      </c>
      <c r="P114" s="9">
        <f t="shared" si="47"/>
        <v>8.2507406369712502E-2</v>
      </c>
      <c r="Q114" s="9">
        <f t="shared" si="47"/>
        <v>8.7247624564386686E-2</v>
      </c>
      <c r="R114" s="9">
        <f t="shared" si="47"/>
        <v>0.21270530331794935</v>
      </c>
      <c r="S114" s="9">
        <f t="shared" si="47"/>
        <v>0.2034220430888376</v>
      </c>
      <c r="T114" s="9">
        <f t="shared" si="47"/>
        <v>0.11025630220713724</v>
      </c>
      <c r="U114" s="9">
        <f t="shared" si="47"/>
        <v>8.6842819388437673E-2</v>
      </c>
      <c r="V114" s="9">
        <f t="shared" si="47"/>
        <v>0.10128530281016852</v>
      </c>
      <c r="W114" s="9">
        <f t="shared" si="47"/>
        <v>9.3541938726564591E-2</v>
      </c>
      <c r="Y114" s="9">
        <f>Y50/Y$12</f>
        <v>0.35708483017343895</v>
      </c>
      <c r="Z114" s="9">
        <f>Z50/Z$12</f>
        <v>0.25319777884654249</v>
      </c>
      <c r="AA114" s="9">
        <f>AA50/AA$12</f>
        <v>0.25319777884654249</v>
      </c>
    </row>
    <row r="115" spans="1:27" s="9" customFormat="1">
      <c r="A115" s="17" t="s">
        <v>92</v>
      </c>
      <c r="B115" s="9">
        <f>B58/B12</f>
        <v>5.1305660658250617E-2</v>
      </c>
      <c r="C115" s="9">
        <f>C58/C12</f>
        <v>5.1305660658250617E-2</v>
      </c>
      <c r="E115" s="9">
        <f>E58/E12</f>
        <v>5.1305660658250617E-2</v>
      </c>
      <c r="H115"/>
      <c r="I115" s="38">
        <f>I58/I12</f>
        <v>5.9596280819765056E-2</v>
      </c>
      <c r="J115" s="38">
        <f>J58/J12</f>
        <v>4.6977621189960558E-2</v>
      </c>
      <c r="K115" s="38">
        <f>K58/K12</f>
        <v>7.2210003135044915E-2</v>
      </c>
      <c r="L115" s="9">
        <f t="shared" si="41"/>
        <v>7.4288155013876533E-2</v>
      </c>
      <c r="M115" s="9">
        <f t="shared" ref="M115:W115" si="48">M58/M12</f>
        <v>4.8316620909895858E-2</v>
      </c>
      <c r="N115" s="9">
        <f t="shared" si="48"/>
        <v>4.3295591349207165E-2</v>
      </c>
      <c r="O115" s="34">
        <f t="shared" si="48"/>
        <v>3.4286565563269075E-2</v>
      </c>
      <c r="P115" s="9">
        <f t="shared" si="48"/>
        <v>5.1128365276567729E-2</v>
      </c>
      <c r="Q115" s="9">
        <f t="shared" si="48"/>
        <v>5.0149836966169314E-2</v>
      </c>
      <c r="R115" s="9">
        <f t="shared" si="48"/>
        <v>4.4204806874272848E-2</v>
      </c>
      <c r="S115" s="9">
        <f t="shared" si="48"/>
        <v>1.2777975051085223E-2</v>
      </c>
      <c r="T115" s="9">
        <f t="shared" si="48"/>
        <v>1.7206208255838677E-2</v>
      </c>
      <c r="U115" s="9">
        <f t="shared" si="48"/>
        <v>2.1400014864722382E-2</v>
      </c>
      <c r="V115" s="9">
        <f t="shared" si="48"/>
        <v>1.3627336101777273E-2</v>
      </c>
      <c r="W115" s="9">
        <f t="shared" si="48"/>
        <v>2.6838398141921745E-2</v>
      </c>
      <c r="Y115" s="9">
        <f>Y58/Y12</f>
        <v>5.1305660658250617E-2</v>
      </c>
      <c r="Z115" s="9">
        <f>Z58/Z12</f>
        <v>7.4288155013876533E-2</v>
      </c>
      <c r="AA115" s="9">
        <f>AA58/AA12</f>
        <v>7.4288155013876533E-2</v>
      </c>
    </row>
    <row r="116" spans="1:27" s="9" customFormat="1">
      <c r="A116" s="17" t="s">
        <v>93</v>
      </c>
      <c r="B116" s="9">
        <f>1/SUM(B112:B114,-B115)</f>
        <v>2.0290767126335534</v>
      </c>
      <c r="C116" s="9">
        <f>1/SUM(C112:C114,-C115)</f>
        <v>2.0290767126335534</v>
      </c>
      <c r="E116" s="9">
        <f>1/SUM(E112:E114,-E115)</f>
        <v>2.0162762180378611</v>
      </c>
      <c r="H116"/>
      <c r="I116" s="38">
        <f>1/SUM(I112:I114,-I115)</f>
        <v>1.288256652254024</v>
      </c>
      <c r="J116" s="38">
        <f>1/SUM(J112:J114,-J115)</f>
        <v>1.3332241644409655</v>
      </c>
      <c r="K116" s="38">
        <f>1/SUM(K112:K114,-K115)</f>
        <v>1.698695183111733</v>
      </c>
      <c r="L116" s="9">
        <f t="shared" si="41"/>
        <v>1.8087686613140919</v>
      </c>
      <c r="M116" s="9">
        <f t="shared" ref="M116:W116" si="49">1/SUM(M112:M114,-M115)</f>
        <v>2.6233803603069554</v>
      </c>
      <c r="N116" s="9">
        <f t="shared" si="49"/>
        <v>2.8610280245781561</v>
      </c>
      <c r="O116" s="34">
        <f t="shared" si="49"/>
        <v>3.6717524961163419</v>
      </c>
      <c r="P116" s="9">
        <f t="shared" si="49"/>
        <v>3.3445644112277497</v>
      </c>
      <c r="Q116" s="9">
        <f t="shared" si="49"/>
        <v>3.1236146881361129</v>
      </c>
      <c r="R116" s="9">
        <f t="shared" si="49"/>
        <v>2.537720342345406</v>
      </c>
      <c r="S116" s="9">
        <f t="shared" si="49"/>
        <v>2.8747075253534833</v>
      </c>
      <c r="T116" s="9">
        <f t="shared" si="49"/>
        <v>4.6365396399676735</v>
      </c>
      <c r="U116" s="9">
        <f t="shared" si="49"/>
        <v>3.3264491201642086</v>
      </c>
      <c r="V116" s="9">
        <f t="shared" si="49"/>
        <v>3.1637192398667433</v>
      </c>
      <c r="W116" s="9">
        <f t="shared" si="49"/>
        <v>4.2250515139026934</v>
      </c>
      <c r="Y116" s="9">
        <f>1/SUM(Y112:Y114,-Y115)</f>
        <v>1.752754750488873</v>
      </c>
      <c r="Z116" s="9">
        <f>1/SUM(Z112:Z114,-Z115)</f>
        <v>1.8087686613140919</v>
      </c>
      <c r="AA116" s="9">
        <f>1/SUM(AA112:AA114,-AA115)</f>
        <v>1.8087686613140919</v>
      </c>
    </row>
    <row r="117" spans="1:27" s="9" customFormat="1">
      <c r="H117"/>
      <c r="I117" s="38"/>
      <c r="J117" s="38"/>
      <c r="K117" s="38"/>
      <c r="L117" s="9">
        <f t="shared" si="41"/>
        <v>0</v>
      </c>
      <c r="O117" s="34"/>
    </row>
    <row r="118" spans="1:27" s="9" customFormat="1">
      <c r="A118" s="17" t="s">
        <v>94</v>
      </c>
      <c r="B118" s="9">
        <f>V116*B110</f>
        <v>0.16053179900396788</v>
      </c>
      <c r="C118" s="9">
        <f>W116*C110</f>
        <v>0.28599790746344794</v>
      </c>
      <c r="E118" s="9">
        <f>Y116*E110</f>
        <v>0.10823648347565258</v>
      </c>
      <c r="H118"/>
      <c r="I118" s="38">
        <f>J116*I110</f>
        <v>8.7582164308309035E-2</v>
      </c>
      <c r="J118" s="38">
        <f>K116*J110</f>
        <v>0.11675073323872327</v>
      </c>
      <c r="K118" s="38">
        <f>L116*K110</f>
        <v>0.15560272985288506</v>
      </c>
      <c r="L118" s="9">
        <f t="shared" si="41"/>
        <v>0.36957604836406699</v>
      </c>
      <c r="M118" s="9">
        <f t="shared" ref="M118:V118" si="50">N116*M110</f>
        <v>0.16666134561693954</v>
      </c>
      <c r="N118" s="9">
        <f t="shared" si="50"/>
        <v>0.14363076538680944</v>
      </c>
      <c r="O118" s="34">
        <f t="shared" si="50"/>
        <v>-0.15350670070684458</v>
      </c>
      <c r="P118" s="9">
        <f t="shared" si="50"/>
        <v>9.1885868850273458E-2</v>
      </c>
      <c r="Q118" s="9">
        <f t="shared" si="50"/>
        <v>-1.1048720296852025E-2</v>
      </c>
      <c r="R118" s="9">
        <f t="shared" si="50"/>
        <v>-1.16797050134361E-2</v>
      </c>
      <c r="S118" s="9">
        <f t="shared" si="50"/>
        <v>0.21808588111310076</v>
      </c>
      <c r="T118" s="9">
        <f t="shared" si="50"/>
        <v>-0.12186532899584304</v>
      </c>
      <c r="U118" s="9">
        <f t="shared" si="50"/>
        <v>0.26091957609721822</v>
      </c>
      <c r="V118" s="9">
        <f t="shared" si="50"/>
        <v>0.17971698775106082</v>
      </c>
      <c r="W118" s="9">
        <f>X114*W110</f>
        <v>0</v>
      </c>
      <c r="Y118" s="9">
        <f>M116*Y110</f>
        <v>0.16199954097372604</v>
      </c>
      <c r="Z118" s="9">
        <f>$M$116*Z110</f>
        <v>0.36957604836406699</v>
      </c>
      <c r="AA118" s="9">
        <f>$M$116*AA110</f>
        <v>0.36957604836406699</v>
      </c>
    </row>
    <row r="119" spans="1:27">
      <c r="A119" s="2"/>
      <c r="C119" s="6"/>
      <c r="D119" s="2"/>
      <c r="F119" s="6"/>
      <c r="G119" s="6"/>
      <c r="I119" s="33"/>
      <c r="X119" s="2"/>
      <c r="Y119" s="2"/>
    </row>
    <row r="120" spans="1:27">
      <c r="A120" s="11" t="s">
        <v>95</v>
      </c>
      <c r="B120" s="6">
        <f>B23+B18</f>
        <v>247235.57142857145</v>
      </c>
      <c r="C120" s="33"/>
      <c r="D120" s="2"/>
      <c r="E120" s="6">
        <f>E23+E18</f>
        <v>560558.02077223558</v>
      </c>
      <c r="F120" s="6"/>
      <c r="G120" s="6"/>
      <c r="I120" s="33">
        <f t="shared" ref="I120:W120" si="51">I15-I17-(I21+I18)</f>
        <v>920894</v>
      </c>
      <c r="J120" s="33">
        <f t="shared" si="51"/>
        <v>736119</v>
      </c>
      <c r="K120" s="33">
        <f t="shared" si="51"/>
        <v>701651</v>
      </c>
      <c r="L120" s="33">
        <f t="shared" si="51"/>
        <v>930604.5</v>
      </c>
      <c r="M120" s="6">
        <f t="shared" si="51"/>
        <v>211905</v>
      </c>
      <c r="N120" s="6">
        <f t="shared" si="51"/>
        <v>106188</v>
      </c>
      <c r="O120" s="20">
        <f t="shared" si="51"/>
        <v>-94534</v>
      </c>
      <c r="P120" s="6">
        <f t="shared" si="51"/>
        <v>68980</v>
      </c>
      <c r="Q120" s="6">
        <f t="shared" si="51"/>
        <v>144</v>
      </c>
      <c r="R120" s="6">
        <f t="shared" si="51"/>
        <v>-6003</v>
      </c>
      <c r="S120" s="6">
        <f t="shared" si="51"/>
        <v>79345</v>
      </c>
      <c r="T120" s="6">
        <f t="shared" si="51"/>
        <v>-38253</v>
      </c>
      <c r="U120" s="6">
        <f t="shared" si="51"/>
        <v>95429</v>
      </c>
      <c r="V120" s="6">
        <f t="shared" si="51"/>
        <v>35103</v>
      </c>
      <c r="W120" s="6">
        <f t="shared" si="51"/>
        <v>44125</v>
      </c>
      <c r="X120" s="2"/>
      <c r="Y120" s="2">
        <f>Y15-Y17-(Y21+Y18)</f>
        <v>265534.51292343851</v>
      </c>
      <c r="Z120" s="6">
        <f>Z15-Z17-(Z21+Z18)</f>
        <v>620403</v>
      </c>
      <c r="AA120" s="6">
        <f>AA15-AA17-(AA21+AA18)</f>
        <v>620403</v>
      </c>
    </row>
    <row r="121" spans="1:27">
      <c r="A121" s="11" t="s">
        <v>96</v>
      </c>
      <c r="B121" s="6">
        <f>B54-B35-B64+B57</f>
        <v>1404016.3619047618</v>
      </c>
      <c r="C121" s="33"/>
      <c r="D121" s="2"/>
      <c r="E121" s="6">
        <f>E54-E35-E64+E57</f>
        <v>3332327.8389517115</v>
      </c>
      <c r="F121" s="6"/>
      <c r="G121" s="6"/>
      <c r="I121" s="33">
        <f t="shared" ref="I121:W121" si="52">I54-I35-I64+I57</f>
        <v>9896068</v>
      </c>
      <c r="J121" s="33">
        <f t="shared" si="52"/>
        <v>7362833</v>
      </c>
      <c r="K121" s="33">
        <f t="shared" si="52"/>
        <v>4328973</v>
      </c>
      <c r="L121" s="33">
        <f t="shared" si="52"/>
        <v>2775301.5</v>
      </c>
      <c r="M121" s="6">
        <f t="shared" si="52"/>
        <v>976771</v>
      </c>
      <c r="N121" s="6">
        <f t="shared" si="52"/>
        <v>715961</v>
      </c>
      <c r="O121" s="20">
        <f t="shared" si="52"/>
        <v>506359</v>
      </c>
      <c r="P121" s="6">
        <f t="shared" si="52"/>
        <v>560201</v>
      </c>
      <c r="Q121" s="6">
        <f t="shared" si="52"/>
        <v>502095</v>
      </c>
      <c r="R121" s="6">
        <f t="shared" si="52"/>
        <v>465740</v>
      </c>
      <c r="S121" s="6">
        <f t="shared" si="52"/>
        <v>447888</v>
      </c>
      <c r="T121" s="6">
        <f t="shared" si="52"/>
        <v>299960</v>
      </c>
      <c r="U121" s="6">
        <f t="shared" si="52"/>
        <v>305438.93333333335</v>
      </c>
      <c r="V121" s="6">
        <f t="shared" si="52"/>
        <v>236517.56666666665</v>
      </c>
      <c r="W121" s="6">
        <f t="shared" si="52"/>
        <v>172190.06666666665</v>
      </c>
      <c r="X121" s="2"/>
      <c r="Y121" s="2">
        <f>Y54-Y35-Y64+Y57</f>
        <v>2178067.8290750328</v>
      </c>
      <c r="Z121" s="6">
        <f>Z54-Z35-Z64+Z57</f>
        <v>1850201</v>
      </c>
      <c r="AA121" s="6">
        <f>AA54-AA35-AA64+AA57</f>
        <v>1850201</v>
      </c>
    </row>
    <row r="122" spans="1:27">
      <c r="A122" s="11" t="s">
        <v>97</v>
      </c>
      <c r="B122" s="6">
        <f>B18*(1-B2)</f>
        <v>31616.960092853282</v>
      </c>
      <c r="C122" s="33"/>
      <c r="D122" s="2"/>
      <c r="E122" s="6">
        <f>E18*(1-E2)</f>
        <v>64294.84278618222</v>
      </c>
      <c r="F122" s="6"/>
      <c r="G122" s="6"/>
      <c r="I122" s="33">
        <f t="shared" ref="I122:W122" si="53">I18*(1-I2)</f>
        <v>459713.25868630956</v>
      </c>
      <c r="J122" s="33">
        <f t="shared" si="53"/>
        <v>205249.47037966247</v>
      </c>
      <c r="K122" s="33">
        <f t="shared" si="53"/>
        <v>173990.27328002069</v>
      </c>
      <c r="L122" s="33">
        <f t="shared" si="53"/>
        <v>72292.348395947512</v>
      </c>
      <c r="M122" s="6">
        <f t="shared" si="53"/>
        <v>20439.135414185846</v>
      </c>
      <c r="N122" s="6">
        <f t="shared" si="53"/>
        <v>16522.150302908925</v>
      </c>
      <c r="O122" s="20">
        <f t="shared" si="53"/>
        <v>13506</v>
      </c>
      <c r="P122" s="6">
        <f t="shared" si="53"/>
        <v>13708.605912424984</v>
      </c>
      <c r="Q122" s="6">
        <f t="shared" si="53"/>
        <v>-7307</v>
      </c>
      <c r="R122" s="6">
        <f t="shared" si="53"/>
        <v>7651.7893396166346</v>
      </c>
      <c r="S122" s="6">
        <f t="shared" si="53"/>
        <v>17133.852857593934</v>
      </c>
      <c r="T122" s="6">
        <f t="shared" si="53"/>
        <v>2153.9292125947632</v>
      </c>
      <c r="U122" s="6">
        <f t="shared" si="53"/>
        <v>-98.109563993403668</v>
      </c>
      <c r="V122" s="6">
        <f t="shared" si="53"/>
        <v>2844.9243135143447</v>
      </c>
      <c r="W122" s="6">
        <f t="shared" si="53"/>
        <v>4668.5808057944769</v>
      </c>
      <c r="X122" s="2"/>
      <c r="Y122" s="2">
        <f>Y18*(1-Y2)</f>
        <v>36862.37653074447</v>
      </c>
      <c r="Z122" s="6">
        <f>Z18*(1-Z2)</f>
        <v>48194.89893063168</v>
      </c>
      <c r="AA122" s="6">
        <f>AA18*(1-AA2)</f>
        <v>48194.89893063168</v>
      </c>
    </row>
    <row r="123" spans="1:27">
      <c r="A123" s="2"/>
      <c r="C123" s="33"/>
      <c r="D123" s="2"/>
      <c r="F123" s="6"/>
      <c r="G123" s="6"/>
      <c r="I123" s="33"/>
      <c r="L123" s="33"/>
      <c r="X123" s="2"/>
      <c r="Y123" s="2"/>
    </row>
    <row r="124" spans="1:27" s="9" customFormat="1">
      <c r="A124" s="17" t="s">
        <v>98</v>
      </c>
      <c r="B124" s="9">
        <f>B118*(1-B1)*(1+B103+B105)*(1-B122/B120)</f>
        <v>0.32756185854886599</v>
      </c>
      <c r="C124" s="38"/>
      <c r="E124" s="9">
        <f>E118*(1-E1)*(1+E103+E105)*(1-E122/E120)</f>
        <v>0.13871716824397595</v>
      </c>
      <c r="H124"/>
      <c r="I124" s="38">
        <f t="shared" ref="I124:W124" si="54">I118*(1-I1)*(1+I103+I105)*(1-I122/I120)</f>
        <v>9.7929821213288179E-2</v>
      </c>
      <c r="J124" s="38">
        <f t="shared" si="54"/>
        <v>0.18010677409365258</v>
      </c>
      <c r="K124" s="38">
        <f t="shared" si="54"/>
        <v>0.16416238236605021</v>
      </c>
      <c r="L124" s="38">
        <f t="shared" si="54"/>
        <v>0.41474070699368609</v>
      </c>
      <c r="M124" s="9">
        <f t="shared" si="54"/>
        <v>0.20136048022309583</v>
      </c>
      <c r="N124" s="9">
        <f t="shared" si="54"/>
        <v>0.14836930764921669</v>
      </c>
      <c r="O124" s="34">
        <f t="shared" si="54"/>
        <v>-0.21863696461282325</v>
      </c>
      <c r="P124" s="9">
        <f t="shared" si="54"/>
        <v>8.889856819258285E-2</v>
      </c>
      <c r="Q124" s="9">
        <f t="shared" si="54"/>
        <v>-0.69392200473857912</v>
      </c>
      <c r="R124" s="9">
        <f t="shared" si="54"/>
        <v>-2.9626309123589514E-2</v>
      </c>
      <c r="S124" s="9">
        <f t="shared" si="54"/>
        <v>0.21445179130826156</v>
      </c>
      <c r="T124" s="9">
        <f t="shared" si="54"/>
        <v>-0.15006635564766516</v>
      </c>
      <c r="U124" s="9">
        <f t="shared" si="54"/>
        <v>0.37582804936904041</v>
      </c>
      <c r="V124" s="9">
        <f t="shared" si="54"/>
        <v>0.20399319668251123</v>
      </c>
      <c r="W124" s="9">
        <f t="shared" si="54"/>
        <v>0</v>
      </c>
      <c r="Y124" s="9">
        <f>Y118*(1-Y1)*(1+Y103+Y105)*(1-Y122/Y120)</f>
        <v>0.18927676452191017</v>
      </c>
      <c r="Z124" s="9">
        <f>Z118*(1-Z1)*(1+Z103+Z105)*(1-Z122/Z120)</f>
        <v>0.41474070699368609</v>
      </c>
      <c r="AA124" s="9">
        <f>AA118*(1-AA1)*(1+AA103+AA105)*(1-AA122/AA120)</f>
        <v>0.41474070699368609</v>
      </c>
    </row>
    <row r="125" spans="1:27" s="9" customFormat="1">
      <c r="A125" s="17" t="s">
        <v>99</v>
      </c>
      <c r="B125" s="9">
        <f>(1+B124)*B110</f>
        <v>6.7362454530218399E-2</v>
      </c>
      <c r="C125" s="38"/>
      <c r="E125" s="9">
        <f>(1+E124)*E110</f>
        <v>7.0318304331911954E-2</v>
      </c>
      <c r="H125"/>
      <c r="I125" s="38">
        <f t="shared" ref="I125:W125" si="55">(1+I124)*I110</f>
        <v>7.2125207872162339E-2</v>
      </c>
      <c r="J125" s="38">
        <f t="shared" si="55"/>
        <v>8.1108330997342812E-2</v>
      </c>
      <c r="K125" s="38">
        <f t="shared" si="55"/>
        <v>0.10014926096551799</v>
      </c>
      <c r="L125" s="38">
        <f t="shared" si="55"/>
        <v>0.19930555548160578</v>
      </c>
      <c r="M125" s="9">
        <f t="shared" si="55"/>
        <v>6.9981961897949349E-2</v>
      </c>
      <c r="N125" s="9">
        <f t="shared" si="55"/>
        <v>4.4921645121461143E-2</v>
      </c>
      <c r="O125" s="34">
        <f t="shared" si="55"/>
        <v>-3.5862506105104663E-2</v>
      </c>
      <c r="P125" s="9">
        <f t="shared" si="55"/>
        <v>3.2031604732880012E-2</v>
      </c>
      <c r="Q125" s="9">
        <f t="shared" si="55"/>
        <v>-1.3326015882187978E-3</v>
      </c>
      <c r="R125" s="9">
        <f t="shared" si="55"/>
        <v>-3.9425501071946711E-3</v>
      </c>
      <c r="S125" s="9">
        <f t="shared" si="55"/>
        <v>5.7123374228003447E-2</v>
      </c>
      <c r="T125" s="9">
        <f t="shared" si="55"/>
        <v>-3.1137540197374216E-2</v>
      </c>
      <c r="U125" s="9">
        <f t="shared" si="55"/>
        <v>0.1134678662064694</v>
      </c>
      <c r="V125" s="9">
        <f t="shared" si="55"/>
        <v>5.1213110625645923E-2</v>
      </c>
      <c r="W125" s="9">
        <f t="shared" si="55"/>
        <v>5.0634698050807968E-2</v>
      </c>
      <c r="Y125" s="9">
        <f>(1+Y124)*Y110</f>
        <v>7.3440471255462381E-2</v>
      </c>
      <c r="Z125" s="9">
        <f>(1+Z124)*Z110</f>
        <v>0.19930555548160578</v>
      </c>
      <c r="AA125" s="9">
        <f>(1+AA124)*AA110</f>
        <v>0.19930555548160578</v>
      </c>
    </row>
    <row r="126" spans="1:27" s="3" customFormat="1">
      <c r="A126" s="12"/>
      <c r="C126" s="8"/>
      <c r="H126"/>
      <c r="I126" s="8"/>
      <c r="J126" s="8"/>
      <c r="K126" s="8"/>
      <c r="L126" s="8"/>
      <c r="O126" s="50"/>
    </row>
    <row r="127" spans="1:27" s="3" customFormat="1">
      <c r="A127" s="12" t="s">
        <v>100</v>
      </c>
      <c r="B127" s="33">
        <f>B57+B66</f>
        <v>687078.92857142864</v>
      </c>
      <c r="C127" s="33"/>
      <c r="E127" s="33">
        <f>E57+E66</f>
        <v>1586905.3041465459</v>
      </c>
      <c r="F127" s="33"/>
      <c r="G127" s="33"/>
      <c r="H127"/>
      <c r="I127" s="33">
        <f t="shared" ref="I127:W127" si="56">I57+I66</f>
        <v>6353752</v>
      </c>
      <c r="J127" s="33">
        <f t="shared" si="56"/>
        <v>4441189</v>
      </c>
      <c r="K127" s="33">
        <f t="shared" si="56"/>
        <v>1936845</v>
      </c>
      <c r="L127" s="33">
        <f t="shared" si="56"/>
        <v>1004925</v>
      </c>
      <c r="M127" s="33">
        <f t="shared" si="56"/>
        <v>628882</v>
      </c>
      <c r="N127" s="33">
        <f t="shared" si="56"/>
        <v>356166</v>
      </c>
      <c r="O127" s="40">
        <f t="shared" si="56"/>
        <v>224903</v>
      </c>
      <c r="P127" s="33">
        <f t="shared" si="56"/>
        <v>187575</v>
      </c>
      <c r="Q127" s="33">
        <f t="shared" si="56"/>
        <v>224967</v>
      </c>
      <c r="R127" s="33">
        <f t="shared" si="56"/>
        <v>186223</v>
      </c>
      <c r="S127" s="33">
        <f t="shared" si="56"/>
        <v>140817</v>
      </c>
      <c r="T127" s="33">
        <f t="shared" si="56"/>
        <v>89976</v>
      </c>
      <c r="U127" s="33">
        <f t="shared" si="56"/>
        <v>47270</v>
      </c>
      <c r="V127" s="33">
        <f t="shared" si="56"/>
        <v>90198</v>
      </c>
      <c r="W127" s="33">
        <f t="shared" si="56"/>
        <v>59169</v>
      </c>
    </row>
    <row r="128" spans="1:27" s="3" customFormat="1">
      <c r="A128" s="12" t="s">
        <v>101</v>
      </c>
      <c r="B128" s="8">
        <f>(B64+B66)/B70</f>
        <v>3.9020969306016049</v>
      </c>
      <c r="C128" s="8"/>
      <c r="E128" s="8">
        <f>(E64+E66)/E70</f>
        <v>1.4327278316118692</v>
      </c>
      <c r="F128" s="8"/>
      <c r="G128" s="8"/>
      <c r="H128"/>
      <c r="I128" s="8">
        <f t="shared" ref="I128:W128" si="57">(I64+I66)/I70</f>
        <v>2.3009482325899064</v>
      </c>
      <c r="J128" s="8">
        <f t="shared" si="57"/>
        <v>1.9282947586019736</v>
      </c>
      <c r="K128" s="8">
        <f t="shared" si="57"/>
        <v>1.3193741342531753</v>
      </c>
      <c r="L128" s="8">
        <f t="shared" si="57"/>
        <v>1.3448034389400729</v>
      </c>
      <c r="M128" s="8">
        <f t="shared" si="57"/>
        <v>2.0507024089017896</v>
      </c>
      <c r="N128" s="8">
        <f t="shared" si="57"/>
        <v>1.8422942486544449</v>
      </c>
      <c r="O128" s="52">
        <f t="shared" si="57"/>
        <v>1.796160507673306</v>
      </c>
      <c r="P128" s="8">
        <f t="shared" si="57"/>
        <v>1.4147492625368732</v>
      </c>
      <c r="Q128" s="8">
        <f t="shared" si="57"/>
        <v>1.5623159624734644</v>
      </c>
      <c r="R128" s="8">
        <f t="shared" si="57"/>
        <v>1.6443271658879952</v>
      </c>
      <c r="S128" s="8">
        <f t="shared" si="57"/>
        <v>1.3645477946269502</v>
      </c>
      <c r="T128" s="8">
        <f t="shared" si="57"/>
        <v>1.0840402249995478</v>
      </c>
      <c r="U128" s="8">
        <f t="shared" si="57"/>
        <v>0.81003935468367172</v>
      </c>
      <c r="V128" s="8">
        <f t="shared" si="57"/>
        <v>0.93440185332946935</v>
      </c>
      <c r="W128" s="8">
        <f t="shared" si="57"/>
        <v>1.2367668415559159</v>
      </c>
    </row>
    <row r="129" spans="1:27" s="3" customFormat="1">
      <c r="A129" s="12" t="s">
        <v>102</v>
      </c>
      <c r="B129" s="8">
        <f>(B86+B122+B93)/(B122)</f>
        <v>25.569511038336394</v>
      </c>
      <c r="C129" s="8"/>
      <c r="E129" s="8">
        <f>(E86+E122+E93)/(E122)</f>
        <v>30.790311134973528</v>
      </c>
      <c r="F129" s="8"/>
      <c r="G129" s="8"/>
      <c r="H129"/>
      <c r="I129" s="8">
        <f t="shared" ref="I129:W129" si="58">(I86+I122+I93)/(I122)</f>
        <v>9.4348187195660635</v>
      </c>
      <c r="J129" s="8">
        <f t="shared" si="58"/>
        <v>14.436541370356034</v>
      </c>
      <c r="K129" s="8">
        <f t="shared" si="58"/>
        <v>12.46861811515492</v>
      </c>
      <c r="L129" s="8">
        <f t="shared" si="58"/>
        <v>30.401140607007139</v>
      </c>
      <c r="M129" s="8">
        <f t="shared" si="58"/>
        <v>42.837924289424379</v>
      </c>
      <c r="N129" s="8">
        <f t="shared" si="58"/>
        <v>38.525502954106472</v>
      </c>
      <c r="O129" s="52">
        <f t="shared" si="58"/>
        <v>29.296090626388271</v>
      </c>
      <c r="P129" s="8">
        <f t="shared" si="58"/>
        <v>34.307763234053695</v>
      </c>
      <c r="Q129" s="8">
        <f t="shared" si="58"/>
        <v>-46.333378951690158</v>
      </c>
      <c r="R129" s="8">
        <f t="shared" si="58"/>
        <v>40.176980271521579</v>
      </c>
      <c r="S129" s="8">
        <f t="shared" si="58"/>
        <v>22.447131772065607</v>
      </c>
      <c r="T129" s="8">
        <f t="shared" si="58"/>
        <v>57.403896325657442</v>
      </c>
      <c r="U129" s="8">
        <f t="shared" si="58"/>
        <v>-2545.1330152970118</v>
      </c>
      <c r="V129" s="8">
        <f t="shared" si="58"/>
        <v>54.192276251829</v>
      </c>
      <c r="W129" s="8">
        <f t="shared" si="58"/>
        <v>32.488155847606322</v>
      </c>
    </row>
    <row r="130" spans="1:27" s="3" customFormat="1">
      <c r="A130" s="12" t="s">
        <v>103</v>
      </c>
      <c r="B130" s="33">
        <f>B100</f>
        <v>276281.85714285716</v>
      </c>
      <c r="C130" s="33"/>
      <c r="E130" s="33">
        <f>E100</f>
        <v>531790.10969294817</v>
      </c>
      <c r="F130" s="33"/>
      <c r="G130" s="33"/>
      <c r="H130"/>
      <c r="I130" s="33">
        <f t="shared" ref="I130:W130" si="59">I100</f>
        <v>1290145</v>
      </c>
      <c r="J130" s="33">
        <f t="shared" si="59"/>
        <v>979451</v>
      </c>
      <c r="K130" s="33">
        <f t="shared" si="59"/>
        <v>684825.5</v>
      </c>
      <c r="L130" s="33">
        <f t="shared" si="59"/>
        <v>1295010.5</v>
      </c>
      <c r="M130" s="33">
        <f t="shared" si="59"/>
        <v>353012</v>
      </c>
      <c r="N130" s="33">
        <f t="shared" si="59"/>
        <v>109180</v>
      </c>
      <c r="O130" s="40">
        <f t="shared" si="59"/>
        <v>99687</v>
      </c>
      <c r="P130" s="33">
        <f t="shared" si="59"/>
        <v>62888</v>
      </c>
      <c r="Q130" s="33">
        <f t="shared" si="59"/>
        <v>52359</v>
      </c>
      <c r="R130" s="33">
        <f t="shared" si="59"/>
        <v>7365</v>
      </c>
      <c r="S130" s="33">
        <f t="shared" si="59"/>
        <v>65513</v>
      </c>
      <c r="T130" s="33">
        <f t="shared" si="59"/>
        <v>19527</v>
      </c>
      <c r="U130" s="33">
        <f t="shared" si="59"/>
        <v>44100</v>
      </c>
      <c r="V130" s="33">
        <f t="shared" si="59"/>
        <v>20171</v>
      </c>
      <c r="W130" s="33">
        <f t="shared" si="59"/>
        <v>74857</v>
      </c>
    </row>
    <row r="131" spans="1:27" s="3" customFormat="1">
      <c r="A131" s="12"/>
      <c r="F131" s="5"/>
      <c r="G131" s="5"/>
      <c r="H131"/>
      <c r="I131" s="5"/>
      <c r="J131" s="8"/>
      <c r="K131" s="8"/>
      <c r="L131" s="8"/>
      <c r="O131" s="50"/>
    </row>
    <row r="132" spans="1:27">
      <c r="A132" s="2"/>
      <c r="C132" s="2"/>
      <c r="D132" s="2"/>
      <c r="X132" s="2"/>
      <c r="Y132" s="2"/>
    </row>
    <row r="133" spans="1:27">
      <c r="B133"/>
      <c r="E133">
        <v>1989</v>
      </c>
      <c r="F133" s="30"/>
      <c r="G133" s="30"/>
      <c r="I133" s="30">
        <v>1991</v>
      </c>
      <c r="J133" s="42">
        <f>J10</f>
        <v>1990</v>
      </c>
      <c r="K133" s="42">
        <f>K10</f>
        <v>1989</v>
      </c>
      <c r="L133"/>
      <c r="M133">
        <v>1988</v>
      </c>
      <c r="N133">
        <v>1987</v>
      </c>
      <c r="O133" s="18">
        <v>1986</v>
      </c>
      <c r="P133">
        <v>1985</v>
      </c>
      <c r="Q133">
        <v>1984</v>
      </c>
      <c r="R133">
        <v>1983</v>
      </c>
      <c r="S133">
        <v>1982</v>
      </c>
      <c r="T133">
        <v>1981</v>
      </c>
      <c r="U133">
        <v>1980</v>
      </c>
      <c r="V133">
        <v>1979</v>
      </c>
      <c r="W133">
        <v>1978</v>
      </c>
      <c r="Y133" s="18" t="s">
        <v>11</v>
      </c>
      <c r="Z133" s="18" t="s">
        <v>11</v>
      </c>
      <c r="AA133" s="18" t="s">
        <v>11</v>
      </c>
    </row>
  </sheetData>
  <printOptions headings="1" gridLines="1" gridLinesSet="0"/>
  <pageMargins left="0.75" right="0.75" top="1" bottom="1" header="0.5" footer="0.5"/>
  <pageSetup orientation="portrait" horizontalDpi="4294967292" verticalDpi="4294967292" copies="0"/>
  <headerFooter>
    <oddHeader>&amp;f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CAE model 1.1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Walker</dc:creator>
  <cp:lastModifiedBy>Bill Walker</cp:lastModifiedBy>
  <dcterms:created xsi:type="dcterms:W3CDTF">2011-12-21T23:31:14Z</dcterms:created>
  <dcterms:modified xsi:type="dcterms:W3CDTF">2011-12-21T23:31:17Z</dcterms:modified>
</cp:coreProperties>
</file>